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98" yWindow="986" windowWidth="10523" windowHeight="3722" tabRatio="823"/>
  </bookViews>
  <sheets>
    <sheet name="Naslovnica" sheetId="38" r:id="rId1"/>
    <sheet name="pomoćna" sheetId="8" state="hidden" r:id="rId2"/>
    <sheet name="Društva" sheetId="2" state="hidden" r:id="rId3"/>
    <sheet name="Društva-ž+n-ZBP" sheetId="42" r:id="rId4"/>
    <sheet name="Društva-BROJ OSIG." sheetId="43" r:id="rId5"/>
    <sheet name="Skupni-premija-NO+ŽO-08-07" sheetId="44" r:id="rId6"/>
    <sheet name="Skupni-br.osig.-NO+ŽO-07-08" sheetId="48" r:id="rId7"/>
    <sheet name="Skupni-br.šteta.-07-08" sheetId="46" r:id="rId8"/>
    <sheet name="Skupni-likv.štete-kn-08-07" sheetId="49" r:id="rId9"/>
    <sheet name="Skupni-premija-obvezna" sheetId="16" r:id="rId10"/>
    <sheet name="Skupni-štete-obvezna" sheetId="20" r:id="rId11"/>
    <sheet name="Skupni-premija-nezgoda i zdr." sheetId="21" r:id="rId12"/>
    <sheet name="Skupni-štete-nezgoda i zdr." sheetId="22" r:id="rId13"/>
    <sheet name="Skupni-premije-vrste-kasko" sheetId="27" r:id="rId14"/>
    <sheet name="Skupni-štete-vrste-kasko" sheetId="26" r:id="rId15"/>
    <sheet name="Skupni-premija-imovina" sheetId="28" r:id="rId16"/>
    <sheet name="Skupni-štete-imovina" sheetId="29" r:id="rId17"/>
    <sheet name="Skupni-premija-odgovornost" sheetId="30" r:id="rId18"/>
    <sheet name="Skupni-štete-odgovornost" sheetId="31" r:id="rId19"/>
    <sheet name="Skupni-premija-ostala odgov." sheetId="32" r:id="rId20"/>
    <sheet name="Skupni-štete-ostala odgov" sheetId="33" r:id="rId21"/>
    <sheet name="Skupni-premija-ostalo" sheetId="34" r:id="rId22"/>
    <sheet name="Skupni-štete-ostalo" sheetId="35" r:id="rId23"/>
    <sheet name="Skupni-premija-život" sheetId="36" r:id="rId24"/>
    <sheet name="Skupni-štete-život" sheetId="37" r:id="rId25"/>
    <sheet name="HUOS podloga" sheetId="51" state="hidden" r:id="rId26"/>
  </sheets>
  <definedNames>
    <definedName name="_xlnm.Print_Area" localSheetId="4">'Društva-BROJ OSIG.'!$B$1:$Q$36</definedName>
    <definedName name="_xlnm.Print_Area" localSheetId="3">'Društva-ž+n-ZBP'!$B$1:$Q$36</definedName>
    <definedName name="_xlnm.Print_Area" localSheetId="6">'Skupni-br.osig.-NO+ŽO-07-08'!$B$1:$J$35</definedName>
    <definedName name="_xlnm.Print_Area" localSheetId="7">'Skupni-br.šteta.-07-08'!$B$1:$J$35</definedName>
    <definedName name="_xlnm.Print_Area" localSheetId="8">'Skupni-likv.štete-kn-08-07'!$B$1:$J$35</definedName>
    <definedName name="_xlnm.Print_Area" localSheetId="15">'Skupni-premija-imovina'!$B$1:$L$33</definedName>
    <definedName name="_xlnm.Print_Area" localSheetId="11">'Skupni-premija-nezgoda i zdr.'!$B$1:$L$27</definedName>
    <definedName name="_xlnm.Print_Area" localSheetId="5">'Skupni-premija-NO+ŽO-08-07'!$B$1:$J$35</definedName>
    <definedName name="_xlnm.Print_Area" localSheetId="9">'Skupni-premija-obvezna'!$B$1:$L$14</definedName>
    <definedName name="_xlnm.Print_Area" localSheetId="23">'Skupni-premija-život'!$A$1:$L$36</definedName>
    <definedName name="_xlnm.Print_Area" localSheetId="13">'Skupni-premije-vrste-kasko'!$B$1:$L$32</definedName>
    <definedName name="_xlnm.Print_Area" localSheetId="16">'Skupni-štete-imovina'!$B$1:$H$33</definedName>
    <definedName name="_xlnm.Print_Area" localSheetId="12">'Skupni-štete-nezgoda i zdr.'!$B$1:$H$27</definedName>
    <definedName name="_xlnm.Print_Area" localSheetId="10">'Skupni-štete-obvezna'!$B$1:$H$14</definedName>
    <definedName name="_xlnm.Print_Area" localSheetId="14">'Skupni-štete-vrste-kasko'!$B$1:$H$32</definedName>
    <definedName name="_xlnm.Print_Titles" localSheetId="23">'Skupni-premija-život'!$1:$6</definedName>
    <definedName name="_xlnm.Print_Titles" localSheetId="24">'Skupni-štete-život'!$1:$6</definedName>
    <definedName name="Query_from_SQL_Server" localSheetId="2" hidden="1">Društva!$A$2:$B$43</definedName>
  </definedNames>
  <calcPr calcId="145621" iterate="1"/>
  <pivotCaches>
    <pivotCache cacheId="219" r:id="rId27"/>
    <pivotCache cacheId="220" r:id="rId28"/>
  </pivotCaches>
</workbook>
</file>

<file path=xl/calcChain.xml><?xml version="1.0" encoding="utf-8"?>
<calcChain xmlns="http://schemas.openxmlformats.org/spreadsheetml/2006/main">
  <c r="A23" i="51" l="1"/>
  <c r="D5" i="51"/>
  <c r="A18" i="51"/>
  <c r="B5" i="51"/>
  <c r="A15" i="51"/>
  <c r="A25" i="51"/>
  <c r="A34" i="51"/>
  <c r="A21" i="51"/>
  <c r="A6" i="51"/>
  <c r="A31" i="51"/>
  <c r="C5" i="51"/>
  <c r="B3" i="51"/>
  <c r="A14" i="51"/>
  <c r="A29" i="51"/>
  <c r="A19" i="51"/>
  <c r="A28" i="51"/>
  <c r="A8" i="51"/>
  <c r="B2" i="51"/>
  <c r="A32" i="51"/>
  <c r="A27" i="51"/>
  <c r="A12" i="51"/>
  <c r="B27" i="51"/>
  <c r="C23" i="51"/>
  <c r="A24" i="51"/>
  <c r="A16" i="51"/>
  <c r="B6" i="51"/>
  <c r="A13" i="51"/>
  <c r="A11" i="51"/>
  <c r="B24" i="51"/>
  <c r="A22" i="51"/>
  <c r="C24" i="51"/>
  <c r="A9" i="51"/>
  <c r="B13" i="51"/>
  <c r="D32" i="51"/>
  <c r="C21" i="51"/>
  <c r="D12" i="51"/>
  <c r="D6" i="51"/>
  <c r="D16" i="51"/>
  <c r="C8" i="51"/>
  <c r="D24" i="51"/>
  <c r="D19" i="51"/>
  <c r="D34" i="51"/>
  <c r="A30" i="51"/>
  <c r="A33" i="51"/>
  <c r="B33" i="51" s="1"/>
  <c r="A26" i="51"/>
  <c r="D26" i="51" s="1"/>
  <c r="A10" i="51"/>
  <c r="C30" i="51"/>
  <c r="D23" i="51"/>
  <c r="A20" i="51"/>
  <c r="B20" i="51" s="1"/>
  <c r="C15" i="51"/>
  <c r="D31" i="51"/>
  <c r="C10" i="51"/>
  <c r="A17" i="51"/>
  <c r="D17" i="51"/>
  <c r="D33" i="51"/>
  <c r="E5" i="51"/>
  <c r="E15" i="51"/>
  <c r="B18" i="51"/>
  <c r="B32" i="51"/>
  <c r="B22" i="51"/>
  <c r="B8" i="51"/>
  <c r="A7" i="51"/>
  <c r="B30" i="51"/>
  <c r="C13" i="51"/>
  <c r="E24" i="51"/>
  <c r="E31" i="51"/>
  <c r="D8" i="51"/>
  <c r="E33" i="51"/>
  <c r="B19" i="51"/>
  <c r="C34" i="51"/>
  <c r="E29" i="51"/>
  <c r="E21" i="51"/>
  <c r="B29" i="51"/>
  <c r="E16" i="51"/>
  <c r="D29" i="51"/>
  <c r="B25" i="51"/>
  <c r="C19" i="51"/>
  <c r="E34" i="51"/>
  <c r="C6" i="51"/>
  <c r="B21" i="51"/>
  <c r="C9" i="51"/>
  <c r="E28" i="51"/>
  <c r="B34" i="51"/>
  <c r="E30" i="51"/>
  <c r="E20" i="51"/>
  <c r="C11" i="51"/>
  <c r="E19" i="51"/>
  <c r="C20" i="51"/>
  <c r="C22" i="51"/>
  <c r="B14" i="51"/>
  <c r="E11" i="51"/>
  <c r="E13" i="51"/>
  <c r="E18" i="51"/>
  <c r="B23" i="51"/>
  <c r="D30" i="51"/>
  <c r="D10" i="51"/>
  <c r="D18" i="51"/>
  <c r="D9" i="51"/>
  <c r="B11" i="51"/>
  <c r="E9" i="51"/>
  <c r="B17" i="51"/>
  <c r="C26" i="51"/>
  <c r="D21" i="51"/>
  <c r="C16" i="51"/>
  <c r="D14" i="51"/>
  <c r="C12" i="51"/>
  <c r="D7" i="51"/>
  <c r="B16" i="51"/>
  <c r="B9" i="51"/>
  <c r="D28" i="51"/>
  <c r="E12" i="51"/>
  <c r="E6" i="51"/>
  <c r="D22" i="51"/>
  <c r="D11" i="51"/>
  <c r="C29" i="51"/>
  <c r="D20" i="51"/>
  <c r="E26" i="51"/>
  <c r="C28" i="51"/>
  <c r="D25" i="51"/>
  <c r="C27" i="51"/>
  <c r="B12" i="51"/>
  <c r="B28" i="51"/>
  <c r="C14" i="51"/>
  <c r="C17" i="51"/>
  <c r="E27" i="51"/>
  <c r="B26" i="51"/>
  <c r="E32" i="51"/>
  <c r="D15" i="51"/>
  <c r="C31" i="51"/>
  <c r="D13" i="51"/>
  <c r="C33" i="51"/>
  <c r="B15" i="51"/>
  <c r="B31" i="51"/>
  <c r="C18" i="51"/>
  <c r="D27" i="51"/>
  <c r="C32" i="51"/>
  <c r="B10" i="51"/>
  <c r="E10" i="51"/>
  <c r="E17" i="51"/>
  <c r="E25" i="51"/>
  <c r="E8" i="51"/>
  <c r="E14" i="51"/>
  <c r="E22" i="51"/>
  <c r="E23" i="51"/>
  <c r="B7" i="51"/>
  <c r="E7" i="51"/>
  <c r="C7" i="51"/>
  <c r="C25" i="51" l="1"/>
  <c r="C72" i="8"/>
  <c r="A30" i="8"/>
  <c r="A22" i="8"/>
  <c r="C19" i="8"/>
  <c r="C93" i="8"/>
  <c r="F54" i="8"/>
  <c r="F53" i="8"/>
  <c r="C80" i="8"/>
  <c r="A21" i="8"/>
  <c r="C20" i="8"/>
  <c r="C14" i="8"/>
  <c r="C73" i="8"/>
  <c r="C57" i="8"/>
  <c r="F7" i="8"/>
  <c r="C55" i="8"/>
  <c r="C98" i="8"/>
  <c r="C108" i="8"/>
  <c r="C85" i="8"/>
  <c r="C90" i="8"/>
  <c r="C101" i="8"/>
  <c r="C82" i="8"/>
  <c r="G6" i="8"/>
  <c r="C86" i="8"/>
  <c r="F16" i="8"/>
  <c r="C45" i="8"/>
  <c r="C36" i="8"/>
  <c r="F29" i="8"/>
  <c r="C30" i="8"/>
  <c r="F11" i="8"/>
  <c r="F27" i="8"/>
  <c r="C31" i="8"/>
  <c r="C110" i="8"/>
  <c r="C46" i="8"/>
  <c r="C87" i="8"/>
  <c r="F28" i="8"/>
  <c r="C29" i="8"/>
  <c r="A17" i="8"/>
  <c r="A28" i="8"/>
  <c r="F10" i="8"/>
  <c r="C10" i="8"/>
  <c r="C43" i="8"/>
  <c r="C8" i="8"/>
  <c r="G29" i="8"/>
  <c r="F33" i="8"/>
  <c r="F38" i="8"/>
  <c r="C89" i="8"/>
  <c r="C97" i="8"/>
  <c r="G27" i="8"/>
  <c r="C27" i="8"/>
  <c r="C35" i="8"/>
  <c r="F13" i="8"/>
  <c r="C62" i="8"/>
  <c r="C103" i="8"/>
  <c r="C92" i="8"/>
  <c r="C104" i="8"/>
  <c r="A18" i="8"/>
  <c r="A29" i="8"/>
  <c r="F45" i="8"/>
  <c r="F12" i="8"/>
  <c r="G12" i="8" s="1"/>
  <c r="C119" i="8"/>
  <c r="F18" i="8"/>
  <c r="C67" i="8"/>
  <c r="F15" i="8"/>
  <c r="G15" i="8" s="1"/>
  <c r="A31" i="8"/>
  <c r="C106" i="8"/>
  <c r="F41" i="8"/>
  <c r="C83" i="8"/>
  <c r="A7" i="8"/>
  <c r="F22" i="8"/>
  <c r="C32" i="8"/>
  <c r="C9" i="8"/>
  <c r="C51" i="8"/>
  <c r="F40" i="8"/>
  <c r="F48" i="8"/>
  <c r="C94" i="8"/>
  <c r="C76" i="8"/>
  <c r="C38" i="8"/>
  <c r="C113" i="8"/>
  <c r="C26" i="8"/>
  <c r="C60" i="8"/>
  <c r="C33" i="8"/>
  <c r="C42" i="8"/>
  <c r="F44" i="8"/>
  <c r="C40" i="8"/>
  <c r="C117" i="8"/>
  <c r="C96" i="8"/>
  <c r="C56" i="8"/>
  <c r="F19" i="8"/>
  <c r="C49" i="8"/>
  <c r="C23" i="8"/>
  <c r="F39" i="8"/>
  <c r="C116" i="8"/>
  <c r="F20" i="8"/>
  <c r="C78" i="8"/>
  <c r="C120" i="8"/>
  <c r="C13" i="8"/>
  <c r="G54" i="8"/>
  <c r="G19" i="8"/>
  <c r="G11" i="8"/>
  <c r="A12" i="8"/>
  <c r="B1" i="8"/>
  <c r="G41" i="8"/>
  <c r="C18" i="8"/>
  <c r="C66" i="8"/>
  <c r="F43" i="8"/>
  <c r="G22" i="8"/>
  <c r="G13" i="8"/>
  <c r="C28" i="8"/>
  <c r="C84" i="8"/>
  <c r="A1" i="8"/>
  <c r="C11" i="8"/>
  <c r="C53" i="8"/>
  <c r="C79" i="8"/>
  <c r="C91" i="8"/>
  <c r="A19" i="8"/>
  <c r="A34" i="8"/>
  <c r="F17" i="8"/>
  <c r="F30" i="8"/>
  <c r="C121" i="8"/>
  <c r="C107" i="8"/>
  <c r="F35" i="8"/>
  <c r="F36" i="8"/>
  <c r="G36" i="8" s="1"/>
  <c r="C68" i="8"/>
  <c r="F51" i="8"/>
  <c r="A15" i="8"/>
  <c r="C112" i="8"/>
  <c r="C59" i="8"/>
  <c r="F46" i="8"/>
  <c r="F37" i="8"/>
  <c r="C75" i="8"/>
  <c r="F47" i="8"/>
  <c r="C71" i="8"/>
  <c r="C70" i="8"/>
  <c r="A32" i="8"/>
  <c r="C63" i="8"/>
  <c r="C100" i="8"/>
  <c r="C37" i="8"/>
  <c r="F50" i="8"/>
  <c r="A26" i="8"/>
  <c r="A33" i="8"/>
  <c r="C41" i="8"/>
  <c r="C118" i="8"/>
  <c r="C21" i="8"/>
  <c r="C25" i="8"/>
  <c r="F14" i="8"/>
  <c r="G14" i="8" s="1"/>
  <c r="C16" i="8"/>
  <c r="G47" i="8"/>
  <c r="C12" i="8"/>
  <c r="C48" i="8"/>
  <c r="G40" i="8"/>
  <c r="C74" i="8"/>
  <c r="A11" i="8"/>
  <c r="C69" i="8"/>
  <c r="G51" i="8"/>
  <c r="C52" i="8"/>
  <c r="A20" i="8"/>
  <c r="C22" i="8"/>
  <c r="C109" i="8"/>
  <c r="F52" i="8"/>
  <c r="G52" i="8" s="1"/>
  <c r="G20" i="8"/>
  <c r="G35" i="8"/>
  <c r="G50" i="8"/>
  <c r="C88" i="8"/>
  <c r="C7" i="8"/>
  <c r="F31" i="8"/>
  <c r="A23" i="8"/>
  <c r="C50" i="8"/>
  <c r="C44" i="8"/>
  <c r="A9" i="8"/>
  <c r="A25" i="8"/>
  <c r="F21" i="8"/>
  <c r="C95" i="8"/>
  <c r="F9" i="8"/>
  <c r="F42" i="8"/>
  <c r="C115" i="8"/>
  <c r="A14" i="8"/>
  <c r="C102" i="8"/>
  <c r="C58" i="8"/>
  <c r="C47" i="8"/>
  <c r="A27" i="8"/>
  <c r="A16" i="8"/>
  <c r="C24" i="8"/>
  <c r="G53" i="8"/>
  <c r="G31" i="8"/>
  <c r="C61" i="8"/>
  <c r="G28" i="8"/>
  <c r="A10" i="8"/>
  <c r="C99" i="8"/>
  <c r="C34" i="8"/>
  <c r="C111" i="8"/>
  <c r="G18" i="8"/>
  <c r="C105" i="8"/>
  <c r="C39" i="8"/>
  <c r="C1" i="8"/>
  <c r="C64" i="8"/>
  <c r="F8" i="8"/>
  <c r="G46" i="8"/>
  <c r="C114" i="8"/>
  <c r="F34" i="8"/>
  <c r="G34" i="8" s="1"/>
  <c r="C77" i="8"/>
  <c r="F23" i="8"/>
  <c r="G23" i="8" s="1"/>
  <c r="A13" i="8"/>
  <c r="F49" i="8"/>
  <c r="F24" i="8"/>
  <c r="G24" i="8" s="1"/>
  <c r="G33" i="8"/>
  <c r="F26" i="8"/>
  <c r="A2" i="8"/>
  <c r="G26" i="8"/>
  <c r="C15" i="8"/>
  <c r="C54" i="8"/>
  <c r="C65" i="8"/>
  <c r="A24" i="8"/>
  <c r="A8" i="8"/>
  <c r="F32" i="8"/>
  <c r="G32" i="8" s="1"/>
  <c r="F25" i="8"/>
  <c r="C17" i="8"/>
  <c r="C81" i="8"/>
  <c r="G37" i="8"/>
  <c r="G45" i="8"/>
  <c r="C2" i="8"/>
  <c r="G39" i="8"/>
  <c r="G30" i="8"/>
  <c r="G44" i="8"/>
  <c r="G16" i="8"/>
  <c r="G10" i="8"/>
  <c r="G48" i="8"/>
  <c r="G42" i="8"/>
  <c r="G9" i="8"/>
  <c r="G43" i="8"/>
  <c r="G21" i="8"/>
  <c r="G17" i="8"/>
  <c r="G25" i="8"/>
  <c r="G8" i="8" l="1"/>
  <c r="B2" i="8"/>
  <c r="G38" i="8"/>
  <c r="G49" i="8"/>
  <c r="G7" i="8"/>
</calcChain>
</file>

<file path=xl/connections.xml><?xml version="1.0" encoding="utf-8"?>
<connections xmlns="http://schemas.openxmlformats.org/spreadsheetml/2006/main">
  <connection id="1" odcFile="\\tesla\Home\mpremor\Dokumenti\My Data Sources\hvar HUOBI RH Statistika.odc" keepAlive="1" name="\\tesla\Home\mpremor\Dokumenti\My Data Sources\hvar HUOBI RH Statistika" type="5" refreshedVersion="4" background="1" saveData="1">
    <dbPr connection="Provider=MSOLAP.4;Integrated Security=SSPI;Persist Security Info=True;Initial Catalog=HUOBI;Data Source=hvar;MDX Compatibility=1;Safety Options=2;MDX Missing Member Mode=Error" command="RH Statistika" commandType="1"/>
    <olapPr sendLocale="1" rowDrillCount="1000"/>
  </connection>
  <connection id="2" odcFile="\\tesla\Home\mpremor\Dokumenti\My Data Sources\hvar HUOBI RH Statistika.odc" keepAlive="1" name="hvar HUOBI RH Statistika" type="5" refreshedVersion="0" new="1" background="1">
    <dbPr connection="Provider=MSOLAP.4;Integrated Security=SSPI;Persist Security Info=True;Data Source=hvar;Initial Catalog=HUOBI" command="RH Statistika" commandType="1"/>
    <olapPr sendLocale="1" rowDrillCount="1000"/>
  </connection>
  <connection id="3" odcFile="http://biportal/Statistika/Data Connections for PerformancePoint/HUO OLAP RH Statistika.odc" keepAlive="1" name="KRK HUO2 RH Statistika" type="5" refreshedVersion="4" background="1" saveData="1" credentials="stored" singleSignOnId="PowerPivotDataRefresh">
    <dbPr connection="Provider=MSOLAP.4;Integrated Security=SSPI;Persist Security Info=True;Initial Catalog=HUOBI;Data Source=hvar;MDX Compatibility=1;Safety Options=2;MDX Missing Member Mode=Error" command="RH Statistika" commandType="1"/>
    <olapPr sendLocale="1" rowDrillCount="1000"/>
  </connection>
  <connection id="4" name="Query from SQL Server" type="1" refreshedVersion="4" background="1" saveData="1">
    <dbPr connection="DRIVER=SQL Server;SERVER=192.168.100.16;UID=exceluser;Trusted_Connection=Yes;APP=Microsoft Office 2010;WSID=COMMBOOK-69;DATABASE=HUO_DWH" command="SELECT dDrustva.IDDrustvo, dDrustva.NazivDrustva_x000d__x000a_FROM HUO_DWH.dbo.dDrustva dDrustva_x000d__x000a_WHERE (dDrustva.ID Like 'HR%') AND (dDrustva.ParentID Is Null)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43">
    <s v="KRK HUO2 RH Statistika"/>
    <s v="[Društva].[Hierarchy].[Društvo].&amp;[34]"/>
    <s v="[Društva].[Hierarchy].[Društvo].&amp;[39]"/>
    <s v="[Društva].[Hierarchy].[Društvo].&amp;[10]"/>
    <s v="[Društva].[Hierarchy].[Društvo].&amp;[32]"/>
    <s v="[Društva].[Hierarchy].[Društvo].&amp;[33]"/>
    <s v="[Društva].[Hierarchy].[Društvo].&amp;[8]"/>
    <s v="[Skupine osiguranja].[Skupina osiguranja].&amp;[2]"/>
    <s v="[Društva].[Hierarchy].[Društvo].&amp;[37]"/>
    <s v="[Društva].[Hierarchy].[Društvo].&amp;[25]"/>
    <s v="[Društva].[Hierarchy].[Društvo].&amp;[41]"/>
    <s v="[Društva].[Hierarchy].[Društvo].&amp;[16]"/>
    <s v="[Društva].[Hierarchy].[Društvo].&amp;[23]"/>
    <s v="[Društva].[Hierarchy].[Društvo].&amp;[38]"/>
    <s v="[Društva].[Hierarchy].[Društvo].&amp;[6]"/>
    <s v="[Društva].[Hierarchy].[Društvo].&amp;[40]"/>
    <s v="[Društva].[Hierarchy].[Društvo].&amp;[5]"/>
    <s v="[Measures].[Zaračunata bruto premija osiguranja- rizici]"/>
    <s v="[Društva].[Hierarchy].[Društvo].&amp;[35]"/>
    <s v="[Društva].[Hierarchy].[Društvo].&amp;[36]"/>
    <s v="[Društva].[Hierarchy].[Društvo].&amp;[12]"/>
    <s v="[Društva].[Hierarchy].[Društvo].&amp;[18]"/>
    <s v="[Društva].[Hierarchy].[Društvo].&amp;[31]"/>
    <s v="[Skupine osiguranja].[Skupina osiguranja].&amp;[1]"/>
    <s v="[Društva].[Hierarchy].[Društvo].&amp;[21]"/>
    <s v="[Društva].[Hierarchy].[Društvo].&amp;[30]"/>
    <s v="[Društva].[Hierarchy].[Društvo].&amp;[20]"/>
    <s v="[Društva].[Hierarchy].[Društvo].&amp;[29]"/>
    <s v="[Skupine osiguranja].[Skupina osiguranja].[Sve]"/>
    <s v="#,##0.00"/>
    <s v="[Measures].[Broj osiguranja- rizici]"/>
    <s v="[Measures].[Likvidirane štete bruto - rizici]"/>
    <s v="[Measures].[Broj šteta - rizici]"/>
    <s v="#,##0"/>
    <s v="[Rizici].[hSkupineRiziciOsiguranja].[Sve]"/>
    <s v="[Rizici].[hSkupineRiziciOsiguranja].[Skupina osiguranja].&amp;[2]"/>
    <s v="[Rizici].[hSkupineRiziciOsiguranja].[Vrsta osiguranja].&amp;[15]"/>
    <s v="[Rizici].[hSkupineRiziciOsiguranja].[Vrsta osiguranja].&amp;[11]"/>
    <s v="[Rizici].[hSkupineRiziciOsiguranja].[Vrsta osiguranja].&amp;[7]"/>
    <s v="[Rizici].[hSkupineRiziciOsiguranja].[Vrsta osiguranja].&amp;[3]"/>
    <s v="[Rizici].[hSkupineRiziciOsiguranja].[Vrsta osiguranja].&amp;[13]"/>
    <s v="[Rizici].[hSkupineRiziciOsiguranja].[Vrsta osiguranja].&amp;[5]"/>
    <s v="[Rizici].[hSkupineRiziciOsiguranja].[Vrsta osiguranja].&amp;[12]"/>
    <s v="[Rizici].[hSkupineRiziciOsiguranja].[Skupina osiguranja].&amp;[1]"/>
    <s v="[Rizici].[hSkupineRiziciOsiguranja].[Vrsta osiguranja].&amp;[18]"/>
    <s v="[Rizici].[hSkupineRiziciOsiguranja].[Vrsta osiguranja].&amp;[14]"/>
    <s v="[Rizici].[hSkupineRiziciOsiguranja].[Vrsta osiguranja].&amp;[10]"/>
    <s v="[Rizici].[hSkupineRiziciOsiguranja].[Vrsta osiguranja].&amp;[6]"/>
    <s v="[Rizici].[hSkupineRiziciOsiguranja].[Vrsta osiguranja].&amp;[2]"/>
    <s v="[Rizici].[hSkupineRiziciOsiguranja].[Vrsta osiguranja].&amp;[17]"/>
    <s v="[Rizici].[hSkupineRiziciOsiguranja].[Vrsta osiguranja].&amp;[9]"/>
    <s v="[Rizici].[hSkupineRiziciOsiguranja].[Vrsta osiguranja].&amp;[1]"/>
    <s v="[Rizici].[hSkupineRiziciOsiguranja].[Vrsta osiguranja].&amp;[16]"/>
    <s v="[Rizici].[hSkupineRiziciOsiguranja].[Vrsta osiguranja].&amp;[8]"/>
    <s v="[Rizici].[hSkupineRiziciOsiguranja].[Vrsta osiguranja].&amp;[4]"/>
    <s v="[Vrste osiguranja].[hSkupineVrsteOsiguranja].[Sve]"/>
    <s v="[Vrste osiguranja].[hSkupineVrsteOsiguranja].[Vrsta osiguranja].&amp;[22]"/>
    <s v="[Vrste osiguranja].[hSkupineVrsteOsiguranja].[Skupina osiguranja].&amp;[2]"/>
    <s v="[Vrste osiguranja].[hSkupineVrsteOsiguranja].[Vrsta osiguranja].&amp;[15]"/>
    <s v="[Vrste osiguranja].[hSkupineVrsteOsiguranja].[Vrsta osiguranja].&amp;[11]"/>
    <s v="[Vrste osiguranja].[hSkupineVrsteOsiguranja].[Vrsta osiguranja].&amp;[7]"/>
    <s v="[Vrste osiguranja].[hSkupineVrsteOsiguranja].[Vrsta osiguranja].&amp;[3]"/>
    <s v="[Vrste osiguranja].[hSkupineVrsteOsiguranja].[Vrsta osiguranja].&amp;[25]"/>
    <s v="[Vrste osiguranja].[hSkupineVrsteOsiguranja].[Vrsta osiguranja].&amp;[21]"/>
    <s v="[Vrste osiguranja].[hSkupineVrsteOsiguranja].[Vrsta osiguranja].&amp;[18]"/>
    <s v="[Vrste osiguranja].[hSkupineVrsteOsiguranja].[Vrsta osiguranja].&amp;[14]"/>
    <s v="[Vrste osiguranja].[hSkupineVrsteOsiguranja].[Vrsta osiguranja].&amp;[10]"/>
    <s v="[Vrste osiguranja].[hSkupineVrsteOsiguranja].[Vrsta osiguranja].&amp;[6]"/>
    <s v="[Vrste osiguranja].[hSkupineVrsteOsiguranja].[Vrsta osiguranja].&amp;[2]"/>
    <s v="[Vrste osiguranja].[hSkupineVrsteOsiguranja].[Vrsta osiguranja].&amp;[24]"/>
    <s v="[Vrste osiguranja].[hSkupineVrsteOsiguranja].[Vrsta osiguranja].&amp;[20]"/>
    <s v="[Vrste osiguranja].[hSkupineVrsteOsiguranja].[Vrsta osiguranja].&amp;[17]"/>
    <s v="[Vrste osiguranja].[hSkupineVrsteOsiguranja].[Vrsta osiguranja].&amp;[13]"/>
    <s v="[Vrste osiguranja].[hSkupineVrsteOsiguranja].[Vrsta osiguranja].&amp;[9]"/>
    <s v="[Vrste osiguranja].[hSkupineVrsteOsiguranja].[Vrsta osiguranja].&amp;[5]"/>
    <s v="[Vrste osiguranja].[hSkupineVrsteOsiguranja].[Vrsta osiguranja].&amp;[1]"/>
    <s v="[Vrste osiguranja].[hSkupineVrsteOsiguranja].[Vrsta osiguranja].&amp;[23]"/>
    <s v="[Vrste osiguranja].[hSkupineVrsteOsiguranja].[Vrsta osiguranja].&amp;[19]"/>
    <s v="[Vrste osiguranja].[hSkupineVrsteOsiguranja].[Vrsta osiguranja].&amp;[16]"/>
    <s v="[Vrste osiguranja].[hSkupineVrsteOsiguranja].[Vrsta osiguranja].&amp;[12]"/>
    <s v="[Vrste osiguranja].[hSkupineVrsteOsiguranja].[Vrsta osiguranja].&amp;[8]"/>
    <s v="[Vrste osiguranja].[hSkupineVrsteOsiguranja].[Vrsta osiguranja].&amp;[4]"/>
    <s v="[Vrste osiguranja].[hSkupineVrsteOsiguranja].[Skupina osiguranja].&amp;[1]"/>
    <s v="[Rizici].[hSkupineRiziciOsiguranja].[Rizik].&amp;[93]"/>
    <s v="[Rizici].[hSkupineRiziciOsiguranja].[Rizik].&amp;[86]"/>
    <s v="[Rizici].[hSkupineRiziciOsiguranja].[Rizik].&amp;[83]"/>
    <s v="[Rizici].[hSkupineRiziciOsiguranja].[Rizik].&amp;[80]"/>
    <s v="[Rizici].[hSkupineRiziciOsiguranja].[Rizik].&amp;[77]"/>
    <s v="[Rizici].[hSkupineRiziciOsiguranja].[Rizik].&amp;[73]"/>
    <s v="[Rizici].[hSkupineRiziciOsiguranja].[Rizik].&amp;[69]"/>
    <s v="[Rizici].[hSkupineRiziciOsiguranja].[Rizik].&amp;[65]"/>
    <s v="[Rizici].[hSkupineRiziciOsiguranja].[Rizik].&amp;[61]"/>
    <s v="[Rizici].[hSkupineRiziciOsiguranja].[Rizik].&amp;[58]"/>
    <s v="[Rizici].[hSkupineRiziciOsiguranja].[Rizik].&amp;[52]"/>
    <s v="[Rizici].[hSkupineRiziciOsiguranja].[Rizik].&amp;[45]"/>
    <s v="[Rizici].[hSkupineRiziciOsiguranja].[Rizik].&amp;[41]"/>
    <s v="[Rizici].[hSkupineRiziciOsiguranja].[Rizik].&amp;[37]"/>
    <s v="[Rizici].[hSkupineRiziciOsiguranja].[Rizik].&amp;[34]"/>
    <s v="[Rizici].[hSkupineRiziciOsiguranja].[Rizik].&amp;[31]"/>
    <s v="[Rizici].[hSkupineRiziciOsiguranja].[Rizik].&amp;[24]"/>
    <s v="[Rizici].[hSkupineRiziciOsiguranja].[Rizik].&amp;[21]"/>
    <s v="[Rizici].[hSkupineRiziciOsiguranja].[Rizik].&amp;[10]"/>
    <s v="[Rizici].[hSkupineRiziciOsiguranja].[Rizik].&amp;[7]"/>
    <s v="[Rizici].[hSkupineRiziciOsiguranja].[Rizik].&amp;[3]"/>
    <s v="[Rizici].[hSkupineRiziciOsiguranja].[Rizik].&amp;[91]"/>
    <s v="[Rizici].[hSkupineRiziciOsiguranja].[Rizik].&amp;[89]"/>
    <s v="[Rizici].[hSkupineRiziciOsiguranja].[Rizik].&amp;[85]"/>
    <s v="[Rizici].[hSkupineRiziciOsiguranja].[Rizik].&amp;[82]"/>
    <s v="[Rizici].[hSkupineRiziciOsiguranja].[Rizik].&amp;[79]"/>
    <s v="[Rizici].[hSkupineRiziciOsiguranja].[Rizik].&amp;[76]"/>
    <s v="[Rizici].[hSkupineRiziciOsiguranja].[Rizik].&amp;[72]"/>
    <s v="[Rizici].[hSkupineRiziciOsiguranja].[Rizik].&amp;[68]"/>
    <s v="[Rizici].[hSkupineRiziciOsiguranja].[Rizik].&amp;[64]"/>
    <s v="[Rizici].[hSkupineRiziciOsiguranja].[Rizik].&amp;[60]"/>
    <s v="[Rizici].[hSkupineRiziciOsiguranja].[Rizik].&amp;[57]"/>
    <s v="[Rizici].[hSkupineRiziciOsiguranja].[Rizik].&amp;[54]"/>
    <s v="[Rizici].[hSkupineRiziciOsiguranja].[Rizik].&amp;[51]"/>
    <s v="[Rizici].[hSkupineRiziciOsiguranja].[Rizik].&amp;[48]"/>
    <s v="[Rizici].[hSkupineRiziciOsiguranja].[Rizik].&amp;[44]"/>
    <s v="[Rizici].[hSkupineRiziciOsiguranja].[Rizik].&amp;[40]"/>
    <s v="[Rizici].[hSkupineRiziciOsiguranja].[Rizik].&amp;[36]"/>
    <s v="[Rizici].[hSkupineRiziciOsiguranja].[Rizik].&amp;[33]"/>
    <s v="[Rizici].[hSkupineRiziciOsiguranja].[Rizik].&amp;[30]"/>
    <s v="[Rizici].[hSkupineRiziciOsiguranja].[Rizik].&amp;[27]"/>
    <s v="[Rizici].[hSkupineRiziciOsiguranja].[Rizik].&amp;[23]"/>
    <s v="[Rizici].[hSkupineRiziciOsiguranja].[Rizik].&amp;[20]"/>
    <s v="[Rizici].[hSkupineRiziciOsiguranja].[Rizik].&amp;[18]"/>
    <s v="[Rizici].[hSkupineRiziciOsiguranja].[Rizik].&amp;[15]"/>
    <s v="[Rizici].[hSkupineRiziciOsiguranja].[Rizik].&amp;[9]"/>
    <s v="[Rizici].[hSkupineRiziciOsiguranja].[Rizik].&amp;[6]"/>
    <s v="[Rizici].[hSkupineRiziciOsiguranja].[Rizik].&amp;[2]"/>
    <s v="[Rizici].[hSkupineRiziciOsiguranja].[Rizik].&amp;[95]"/>
    <s v="[Rizici].[hSkupineRiziciOsiguranja].[Rizik].&amp;[88]"/>
    <s v="[Rizici].[hSkupineRiziciOsiguranja].[Rizik].&amp;[84]"/>
    <s v="[Rizici].[hSkupineRiziciOsiguranja].[Rizik].&amp;[75]"/>
    <s v="[Rizici].[hSkupineRiziciOsiguranja].[Rizik].&amp;[71]"/>
    <s v="[Rizici].[hSkupineRiziciOsiguranja].[Rizik].&amp;[67]"/>
    <s v="[Rizici].[hSkupineRiziciOsiguranja].[Rizik].&amp;[63]"/>
    <s v="[Rizici].[hSkupineRiziciOsiguranja].[Rizik].&amp;[59]"/>
    <s v="[Rizici].[hSkupineRiziciOsiguranja].[Rizik].&amp;[56]"/>
    <s v="[Rizici].[hSkupineRiziciOsiguranja].[Rizik].&amp;[53]"/>
    <s v="[Rizici].[hSkupineRiziciOsiguranja].[Rizik].&amp;[50]"/>
    <s v="[Rizici].[hSkupineRiziciOsiguranja].[Rizik].&amp;[47]"/>
    <s v="[Rizici].[hSkupineRiziciOsiguranja].[Rizik].&amp;[43]"/>
    <s v="[Rizici].[hSkupineRiziciOsiguranja].[Rizik].&amp;[39]"/>
    <s v="[Rizici].[hSkupineRiziciOsiguranja].[Rizik].&amp;[29]"/>
    <s v="[Rizici].[hSkupineRiziciOsiguranja].[Rizik].&amp;[26]"/>
    <s v="[Rizici].[hSkupineRiziciOsiguranja].[Rizik].&amp;[22]"/>
    <s v="[Rizici].[hSkupineRiziciOsiguranja].[Rizik].&amp;[17]"/>
    <s v="[Rizici].[hSkupineRiziciOsiguranja].[Rizik].&amp;[14]"/>
    <s v="[Rizici].[hSkupineRiziciOsiguranja].[Rizik].&amp;[5]"/>
    <s v="[Rizici].[hSkupineRiziciOsiguranja].[Rizik].&amp;[1]"/>
    <s v="[Rizici].[hSkupineRiziciOsiguranja].[Rizik].&amp;[94]"/>
    <s v="[Rizici].[hSkupineRiziciOsiguranja].[Rizik].&amp;[90]"/>
    <s v="[Rizici].[hSkupineRiziciOsiguranja].[Rizik].&amp;[87]"/>
    <s v="[Rizici].[hSkupineRiziciOsiguranja].[Rizik].&amp;[81]"/>
    <s v="[Rizici].[hSkupineRiziciOsiguranja].[Rizik].&amp;[78]"/>
    <s v="[Rizici].[hSkupineRiziciOsiguranja].[Rizik].&amp;[74]"/>
    <s v="[Rizici].[hSkupineRiziciOsiguranja].[Rizik].&amp;[70]"/>
    <s v="[Rizici].[hSkupineRiziciOsiguranja].[Rizik].&amp;[66]"/>
    <s v="[Rizici].[hSkupineRiziciOsiguranja].[Rizik].&amp;[62]"/>
    <s v="[Rizici].[hSkupineRiziciOsiguranja].[Rizik].&amp;[55]"/>
    <s v="[Rizici].[hSkupineRiziciOsiguranja].[Rizik].&amp;[49]"/>
    <s v="[Rizici].[hSkupineRiziciOsiguranja].[Rizik].&amp;[46]"/>
    <s v="[Rizici].[hSkupineRiziciOsiguranja].[Rizik].&amp;[42]"/>
    <s v="[Rizici].[hSkupineRiziciOsiguranja].[Rizik].&amp;[38]"/>
    <s v="[Rizici].[hSkupineRiziciOsiguranja].[Rizik].&amp;[35]"/>
    <s v="[Rizici].[hSkupineRiziciOsiguranja].[Rizik].&amp;[32]"/>
    <s v="[Rizici].[hSkupineRiziciOsiguranja].[Rizik].&amp;[28]"/>
    <s v="[Rizici].[hSkupineRiziciOsiguranja].[Rizik].&amp;[25]"/>
    <s v="[Rizici].[hSkupineRiziciOsiguranja].[Rizik].&amp;[19]"/>
    <s v="[Rizici].[hSkupineRiziciOsiguranja].[Rizik].&amp;[16]"/>
    <s v="[Rizici].[hSkupineRiziciOsiguranja].[Rizik].&amp;[12]"/>
    <s v="[Rizici].[hSkupineRiziciOsiguranja].[Rizik].&amp;[8]"/>
    <s v="[Rizici].[hSkupineRiziciOsiguranja].[Rizik].&amp;[4]"/>
    <s v="[Rizici].[hSkupineRiziciOsiguranja].[Vrsta osiguranja].&amp;[25]"/>
    <s v="[Rizici].[hSkupineRiziciOsiguranja].[Vrsta osiguranja].&amp;[24]"/>
    <s v="[Rizici].[hSkupineRiziciOsiguranja].[Rizik].&amp;[119]"/>
    <s v="[Rizici].[hSkupineRiziciOsiguranja].[Rizik].&amp;[117]"/>
    <s v="[Rizici].[hSkupineRiziciOsiguranja].[Vrsta osiguranja].&amp;[23]"/>
    <s v="[Rizici].[hSkupineRiziciOsiguranja].[Vrsta osiguranja].&amp;[22]"/>
    <s v="[Rizici].[hSkupineRiziciOsiguranja].[Rizik].&amp;[113]"/>
    <s v="[Rizici].[hSkupineRiziciOsiguranja].[Vrsta osiguranja].&amp;[21]"/>
    <s v="[Rizici].[hSkupineRiziciOsiguranja].[Rizik].&amp;[110]"/>
    <s v="[Rizici].[hSkupineRiziciOsiguranja].[Vrsta osiguranja].&amp;[20]"/>
    <s v="[Rizici].[hSkupineRiziciOsiguranja].[Rizik].&amp;[100]"/>
    <s v="[Rizici].[hSkupineRiziciOsiguranja].[Rizik].&amp;[98]"/>
    <s v="[Rizici].[hSkupineRiziciOsiguranja].[Rizik].&amp;[96]"/>
    <s v="[Rizici].[hSkupineRiziciOsiguranja].[Rizik].&amp;[122]"/>
    <s v="[Rizici].[hSkupineRiziciOsiguranja].[Rizik].&amp;[121]"/>
    <s v="[Rizici].[hSkupineRiziciOsiguranja].[Rizik].&amp;[120]"/>
    <s v="[Rizici].[hSkupineRiziciOsiguranja].[Rizik].&amp;[118]"/>
    <s v="[Rizici].[hSkupineRiziciOsiguranja].[Rizik].&amp;[116]"/>
    <s v="[Rizici].[hSkupineRiziciOsiguranja].[Rizik].&amp;[115]"/>
    <s v="[Rizici].[hSkupineRiziciOsiguranja].[Rizik].&amp;[114]"/>
    <s v="[Rizici].[hSkupineRiziciOsiguranja].[Rizik].&amp;[112]"/>
    <s v="[Rizici].[hSkupineRiziciOsiguranja].[Rizik].&amp;[111]"/>
    <s v="[Rizici].[hSkupineRiziciOsiguranja].[Rizik].&amp;[109]"/>
    <s v="[Rizici].[hSkupineRiziciOsiguranja].[Rizik].&amp;[108]"/>
    <s v="[Rizici].[hSkupineRiziciOsiguranja].[Rizik].&amp;[99]"/>
    <s v="[Rizici].[hSkupineRiziciOsiguranja].[Rizik].&amp;[97]"/>
    <s v="[Rizici].[hSkupineRiziciOsiguranja].[Vrsta osiguranja].&amp;[19]"/>
    <s v="[Društva].[Hierarchy].[All]"/>
    <s v="[Društva].[Hierarchy].[Društvo].&amp;[197]"/>
    <s v="[Godina Podatka].[Godina podatka].&amp;[2013]"/>
    <s v="{[Učestalost podataka].[Učestalost podatka].&amp;[7],[Učestalost podataka].[Učestalost podatka].&amp;[8]}"/>
    <s v="[Measures].[Broj novih osiguranja s višekratnim plaćanjem premije]"/>
    <s v="[Measures].[Broj novih osiguranja s jednokratnim plaćanjem premije]"/>
    <s v="[Measures].[Zaračunata bruto premija novih osiguranja s višekratnim plaćanjem premije]"/>
    <s v="[Measures].[Zaračunata bruto premija novih osiguranja s jednokratnim plaćanjem premije]"/>
    <s v="\\tesla\Home\mpremor\Dokumenti\My Data Sources\hvar HUOBI RH Statistika"/>
    <s v="[Podvrste osiguranja].[hPodvrsteOsiguranja].[Vrsta osiguranja].&amp;[25]"/>
    <s v="[Podvrste osiguranja].[hPodvrsteOsiguranja].[Rizik].&amp;[119]"/>
    <s v="[Podvrste osiguranja].[hPodvrsteOsiguranja].[Vrsta osiguranja].&amp;[23]"/>
    <s v="[Podvrste osiguranja].[hPodvrsteOsiguranja].[Rizik].&amp;[113]"/>
    <s v="[Podvrste osiguranja].[hPodvrsteOsiguranja].[Rizik].&amp;[110]"/>
    <s v="[Podvrste osiguranja].[hPodvrsteOsiguranja].[Rizik].&amp;[100]"/>
    <s v="[Podvrste osiguranja].[hPodvrsteOsiguranja].[Rizik].&amp;[96]"/>
    <s v="[Podvrste osiguranja].[hPodvrsteOsiguranja].[Rizik].&amp;[121]"/>
    <s v="[Podvrste osiguranja].[hPodvrsteOsiguranja].[Rizik].&amp;[115]"/>
    <s v="[Podvrste osiguranja].[hPodvrsteOsiguranja].[Rizik].&amp;[109]"/>
    <s v="[Podvrste osiguranja].[hPodvrsteOsiguranja].[Rizik].&amp;[99]"/>
    <s v="[Podvrste osiguranja].[hPodvrsteOsiguranja].[Sve]"/>
    <s v="[Podvrste osiguranja].[hPodvrsteOsiguranja].[Rizik].&amp;[117]"/>
    <s v="[Podvrste osiguranja].[hPodvrsteOsiguranja].[Vrsta osiguranja].&amp;[21]"/>
    <s v="[Podvrste osiguranja].[hPodvrsteOsiguranja].[Rizik].&amp;[98]"/>
    <s v="[Podvrste osiguranja].[hPodvrsteOsiguranja].[Rizik].&amp;[122]"/>
    <s v="[Podvrste osiguranja].[hPodvrsteOsiguranja].[Rizik].&amp;[116]"/>
    <s v="[Podvrste osiguranja].[hPodvrsteOsiguranja].[Rizik].&amp;[111]"/>
    <s v="[Podvrste osiguranja].[hPodvrsteOsiguranja].[Rizik].&amp;[97]"/>
    <s v="[Podvrste osiguranja].[hPodvrsteOsiguranja].[Rizik].&amp;[118]"/>
    <s v="[Podvrste osiguranja].[hPodvrsteOsiguranja].[Rizik].&amp;[112]"/>
    <s v="[Podvrste osiguranja].[hPodvrsteOsiguranja].[Vrsta osiguranja].&amp;[19]"/>
    <s v="[Podvrste osiguranja].[hPodvrsteOsiguranja].[Vrsta osiguranja].&amp;[24]"/>
    <s v="[Podvrste osiguranja].[hPodvrsteOsiguranja].[Vrsta osiguranja].&amp;[22]"/>
    <s v="[Podvrste osiguranja].[hPodvrsteOsiguranja].[Vrsta osiguranja].&amp;[20]"/>
    <s v="[Podvrste osiguranja].[hPodvrsteOsiguranja].[Skupina osiguranja].&amp;[2]"/>
    <s v="[Podvrste osiguranja].[hPodvrsteOsiguranja].[Rizik].&amp;[120]"/>
    <s v="[Podvrste osiguranja].[hPodvrsteOsiguranja].[Rizik].&amp;[114]"/>
    <s v="[Podvrste osiguranja].[hPodvrsteOsiguranja].[Rizik].&amp;[108]"/>
    <s v="[Godina Podatka].[Godina podatka].&amp;[2014]"/>
    <s v="[Godina Podatka].[Godina podatka].&amp;[2015]"/>
    <s v="{[Učestalost podataka].[Učestalost podatka].&amp;[11],[Učestalost podataka].[Učestalost podatka].&amp;[12]}"/>
  </metadataStrings>
  <mdxMetadata count="1940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8"/>
      </t>
    </mdx>
    <mdx n="0" f="m">
      <t c="1">
        <n x="9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m">
      <t c="1">
        <n x="21"/>
      </t>
    </mdx>
    <mdx n="0" f="m">
      <t c="1">
        <n x="22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v">
      <t c="1" si="33">
        <n x="30"/>
      </t>
    </mdx>
    <mdx n="0" f="v">
      <t c="1" si="29">
        <n x="31"/>
      </t>
    </mdx>
    <mdx n="0" f="v">
      <t c="1" si="33">
        <n x="32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m">
      <t c="1">
        <n x="59"/>
      </t>
    </mdx>
    <mdx n="0" f="m">
      <t c="1">
        <n x="60"/>
      </t>
    </mdx>
    <mdx n="0" f="m">
      <t c="1">
        <n x="61"/>
      </t>
    </mdx>
    <mdx n="0" f="m">
      <t c="1">
        <n x="62"/>
      </t>
    </mdx>
    <mdx n="0" f="m">
      <t c="1">
        <n x="63"/>
      </t>
    </mdx>
    <mdx n="0" f="m">
      <t c="1">
        <n x="64"/>
      </t>
    </mdx>
    <mdx n="0" f="m">
      <t c="1">
        <n x="65"/>
      </t>
    </mdx>
    <mdx n="0" f="m">
      <t c="1">
        <n x="66"/>
      </t>
    </mdx>
    <mdx n="0" f="m">
      <t c="1">
        <n x="67"/>
      </t>
    </mdx>
    <mdx n="0" f="m">
      <t c="1">
        <n x="68"/>
      </t>
    </mdx>
    <mdx n="0" f="m">
      <t c="1">
        <n x="69"/>
      </t>
    </mdx>
    <mdx n="0" f="m">
      <t c="1">
        <n x="70"/>
      </t>
    </mdx>
    <mdx n="0" f="m">
      <t c="1">
        <n x="71"/>
      </t>
    </mdx>
    <mdx n="0" f="m">
      <t c="1">
        <n x="72"/>
      </t>
    </mdx>
    <mdx n="0" f="m">
      <t c="1">
        <n x="73"/>
      </t>
    </mdx>
    <mdx n="0" f="m">
      <t c="1">
        <n x="74"/>
      </t>
    </mdx>
    <mdx n="0" f="m">
      <t c="1">
        <n x="75"/>
      </t>
    </mdx>
    <mdx n="0" f="m">
      <t c="1">
        <n x="76"/>
      </t>
    </mdx>
    <mdx n="0" f="m">
      <t c="1">
        <n x="77"/>
      </t>
    </mdx>
    <mdx n="0" f="m">
      <t c="1">
        <n x="78"/>
      </t>
    </mdx>
    <mdx n="0" f="m">
      <t c="1">
        <n x="79"/>
      </t>
    </mdx>
    <mdx n="0" f="m">
      <t c="1">
        <n x="80"/>
      </t>
    </mdx>
    <mdx n="0" f="m">
      <t c="1">
        <n x="81"/>
      </t>
    </mdx>
    <mdx n="0" f="m">
      <t c="1">
        <n x="82"/>
      </t>
    </mdx>
    <mdx n="0" f="m">
      <t c="1">
        <n x="83"/>
      </t>
    </mdx>
    <mdx n="0" f="m">
      <t c="1">
        <n x="84"/>
      </t>
    </mdx>
    <mdx n="0" f="m">
      <t c="1">
        <n x="85"/>
      </t>
    </mdx>
    <mdx n="0" f="m">
      <t c="1">
        <n x="86"/>
      </t>
    </mdx>
    <mdx n="0" f="m">
      <t c="1">
        <n x="87"/>
      </t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m">
      <t c="1">
        <n x="94"/>
      </t>
    </mdx>
    <mdx n="0" f="m">
      <t c="1">
        <n x="95"/>
      </t>
    </mdx>
    <mdx n="0" f="m">
      <t c="1">
        <n x="96"/>
      </t>
    </mdx>
    <mdx n="0" f="m">
      <t c="1">
        <n x="97"/>
      </t>
    </mdx>
    <mdx n="0" f="m">
      <t c="1">
        <n x="98"/>
      </t>
    </mdx>
    <mdx n="0" f="m">
      <t c="1">
        <n x="99"/>
      </t>
    </mdx>
    <mdx n="0" f="m">
      <t c="1">
        <n x="100"/>
      </t>
    </mdx>
    <mdx n="0" f="m">
      <t c="1">
        <n x="101"/>
      </t>
    </mdx>
    <mdx n="0" f="m">
      <t c="1">
        <n x="102"/>
      </t>
    </mdx>
    <mdx n="0" f="m">
      <t c="1">
        <n x="103"/>
      </t>
    </mdx>
    <mdx n="0" f="m">
      <t c="1">
        <n x="104"/>
      </t>
    </mdx>
    <mdx n="0" f="m">
      <t c="1">
        <n x="105"/>
      </t>
    </mdx>
    <mdx n="0" f="m">
      <t c="1">
        <n x="106"/>
      </t>
    </mdx>
    <mdx n="0" f="m">
      <t c="1">
        <n x="107"/>
      </t>
    </mdx>
    <mdx n="0" f="m">
      <t c="1">
        <n x="108"/>
      </t>
    </mdx>
    <mdx n="0" f="m">
      <t c="1">
        <n x="109"/>
      </t>
    </mdx>
    <mdx n="0" f="m">
      <t c="1">
        <n x="110"/>
      </t>
    </mdx>
    <mdx n="0" f="m">
      <t c="1">
        <n x="111"/>
      </t>
    </mdx>
    <mdx n="0" f="m">
      <t c="1">
        <n x="112"/>
      </t>
    </mdx>
    <mdx n="0" f="m">
      <t c="1">
        <n x="113"/>
      </t>
    </mdx>
    <mdx n="0" f="m">
      <t c="1">
        <n x="114"/>
      </t>
    </mdx>
    <mdx n="0" f="m">
      <t c="1">
        <n x="115"/>
      </t>
    </mdx>
    <mdx n="0" f="m">
      <t c="1">
        <n x="116"/>
      </t>
    </mdx>
    <mdx n="0" f="m">
      <t c="1">
        <n x="117"/>
      </t>
    </mdx>
    <mdx n="0" f="m">
      <t c="1">
        <n x="118"/>
      </t>
    </mdx>
    <mdx n="0" f="m">
      <t c="1">
        <n x="119"/>
      </t>
    </mdx>
    <mdx n="0" f="m">
      <t c="1">
        <n x="120"/>
      </t>
    </mdx>
    <mdx n="0" f="m">
      <t c="1">
        <n x="121"/>
      </t>
    </mdx>
    <mdx n="0" f="m">
      <t c="1">
        <n x="122"/>
      </t>
    </mdx>
    <mdx n="0" f="m">
      <t c="1">
        <n x="123"/>
      </t>
    </mdx>
    <mdx n="0" f="m">
      <t c="1">
        <n x="124"/>
      </t>
    </mdx>
    <mdx n="0" f="m">
      <t c="1">
        <n x="125"/>
      </t>
    </mdx>
    <mdx n="0" f="m">
      <t c="1">
        <n x="126"/>
      </t>
    </mdx>
    <mdx n="0" f="m">
      <t c="1">
        <n x="127"/>
      </t>
    </mdx>
    <mdx n="0" f="m">
      <t c="1">
        <n x="128"/>
      </t>
    </mdx>
    <mdx n="0" f="m">
      <t c="1">
        <n x="129"/>
      </t>
    </mdx>
    <mdx n="0" f="m">
      <t c="1">
        <n x="130"/>
      </t>
    </mdx>
    <mdx n="0" f="m">
      <t c="1">
        <n x="131"/>
      </t>
    </mdx>
    <mdx n="0" f="m">
      <t c="1">
        <n x="132"/>
      </t>
    </mdx>
    <mdx n="0" f="m">
      <t c="1">
        <n x="133"/>
      </t>
    </mdx>
    <mdx n="0" f="m">
      <t c="1">
        <n x="134"/>
      </t>
    </mdx>
    <mdx n="0" f="m">
      <t c="1">
        <n x="135"/>
      </t>
    </mdx>
    <mdx n="0" f="m">
      <t c="1">
        <n x="136"/>
      </t>
    </mdx>
    <mdx n="0" f="m">
      <t c="1">
        <n x="137"/>
      </t>
    </mdx>
    <mdx n="0" f="m">
      <t c="1">
        <n x="138"/>
      </t>
    </mdx>
    <mdx n="0" f="m">
      <t c="1">
        <n x="139"/>
      </t>
    </mdx>
    <mdx n="0" f="m">
      <t c="1">
        <n x="140"/>
      </t>
    </mdx>
    <mdx n="0" f="m">
      <t c="1">
        <n x="141"/>
      </t>
    </mdx>
    <mdx n="0" f="m">
      <t c="1">
        <n x="142"/>
      </t>
    </mdx>
    <mdx n="0" f="m">
      <t c="1">
        <n x="143"/>
      </t>
    </mdx>
    <mdx n="0" f="m">
      <t c="1">
        <n x="144"/>
      </t>
    </mdx>
    <mdx n="0" f="m">
      <t c="1">
        <n x="145"/>
      </t>
    </mdx>
    <mdx n="0" f="m">
      <t c="1">
        <n x="146"/>
      </t>
    </mdx>
    <mdx n="0" f="m">
      <t c="1">
        <n x="147"/>
      </t>
    </mdx>
    <mdx n="0" f="m">
      <t c="1">
        <n x="148"/>
      </t>
    </mdx>
    <mdx n="0" f="m">
      <t c="1">
        <n x="149"/>
      </t>
    </mdx>
    <mdx n="0" f="m">
      <t c="1">
        <n x="150"/>
      </t>
    </mdx>
    <mdx n="0" f="m">
      <t c="1">
        <n x="151"/>
      </t>
    </mdx>
    <mdx n="0" f="m">
      <t c="1">
        <n x="152"/>
      </t>
    </mdx>
    <mdx n="0" f="m">
      <t c="1">
        <n x="153"/>
      </t>
    </mdx>
    <mdx n="0" f="m">
      <t c="1">
        <n x="154"/>
      </t>
    </mdx>
    <mdx n="0" f="m">
      <t c="1">
        <n x="155"/>
      </t>
    </mdx>
    <mdx n="0" f="m">
      <t c="1">
        <n x="156"/>
      </t>
    </mdx>
    <mdx n="0" f="m">
      <t c="1">
        <n x="157"/>
      </t>
    </mdx>
    <mdx n="0" f="m">
      <t c="1">
        <n x="158"/>
      </t>
    </mdx>
    <mdx n="0" f="m">
      <t c="1">
        <n x="159"/>
      </t>
    </mdx>
    <mdx n="0" f="m">
      <t c="1">
        <n x="160"/>
      </t>
    </mdx>
    <mdx n="0" f="m">
      <t c="1">
        <n x="161"/>
      </t>
    </mdx>
    <mdx n="0" f="m">
      <t c="1">
        <n x="162"/>
      </t>
    </mdx>
    <mdx n="0" f="m">
      <t c="1">
        <n x="163"/>
      </t>
    </mdx>
    <mdx n="0" f="m">
      <t c="1">
        <n x="164"/>
      </t>
    </mdx>
    <mdx n="0" f="m">
      <t c="1">
        <n x="165"/>
      </t>
    </mdx>
    <mdx n="0" f="m">
      <t c="1">
        <n x="166"/>
      </t>
    </mdx>
    <mdx n="0" f="m">
      <t c="1">
        <n x="167"/>
      </t>
    </mdx>
    <mdx n="0" f="m">
      <t c="1">
        <n x="168"/>
      </t>
    </mdx>
    <mdx n="0" f="m">
      <t c="1">
        <n x="169"/>
      </t>
    </mdx>
    <mdx n="0" f="m">
      <t c="1">
        <n x="170"/>
      </t>
    </mdx>
    <mdx n="0" f="m">
      <t c="1">
        <n x="171"/>
      </t>
    </mdx>
    <mdx n="0" f="m">
      <t c="1">
        <n x="172"/>
      </t>
    </mdx>
    <mdx n="0" f="m">
      <t c="1">
        <n x="173"/>
      </t>
    </mdx>
    <mdx n="0" f="m">
      <t c="1">
        <n x="174"/>
      </t>
    </mdx>
    <mdx n="0" f="m">
      <t c="1">
        <n x="17"/>
      </t>
    </mdx>
    <mdx n="0" f="m">
      <t c="1">
        <n x="175"/>
      </t>
    </mdx>
    <mdx n="0" f="m">
      <t c="1">
        <n x="176"/>
      </t>
    </mdx>
    <mdx n="0" f="m">
      <t c="1">
        <n x="177"/>
      </t>
    </mdx>
    <mdx n="0" f="m">
      <t c="1">
        <n x="178"/>
      </t>
    </mdx>
    <mdx n="0" f="m">
      <t c="1">
        <n x="179"/>
      </t>
    </mdx>
    <mdx n="0" f="m">
      <t c="1">
        <n x="180"/>
      </t>
    </mdx>
    <mdx n="0" f="m">
      <t c="1">
        <n x="181"/>
      </t>
    </mdx>
    <mdx n="0" f="m">
      <t c="1">
        <n x="182"/>
      </t>
    </mdx>
    <mdx n="0" f="m">
      <t c="1">
        <n x="183"/>
      </t>
    </mdx>
    <mdx n="0" f="m">
      <t c="1">
        <n x="184"/>
      </t>
    </mdx>
    <mdx n="0" f="m">
      <t c="1">
        <n x="185"/>
      </t>
    </mdx>
    <mdx n="0" f="m">
      <t c="1">
        <n x="186"/>
      </t>
    </mdx>
    <mdx n="0" f="m">
      <t c="1">
        <n x="187"/>
      </t>
    </mdx>
    <mdx n="0" f="m">
      <t c="1">
        <n x="188"/>
      </t>
    </mdx>
    <mdx n="0" f="m">
      <t c="1">
        <n x="189"/>
      </t>
    </mdx>
    <mdx n="0" f="m">
      <t c="1">
        <n x="190"/>
      </t>
    </mdx>
    <mdx n="0" f="m">
      <t c="1">
        <n x="191"/>
      </t>
    </mdx>
    <mdx n="0" f="m">
      <t c="1">
        <n x="192"/>
      </t>
    </mdx>
    <mdx n="0" f="m">
      <t c="1">
        <n x="193"/>
      </t>
    </mdx>
    <mdx n="0" f="m">
      <t c="1">
        <n x="194"/>
      </t>
    </mdx>
    <mdx n="0" f="m">
      <t c="1">
        <n x="195"/>
      </t>
    </mdx>
    <mdx n="0" f="m">
      <t c="1">
        <n x="196"/>
      </t>
    </mdx>
    <mdx n="0" f="m">
      <t c="1">
        <n x="197"/>
      </t>
    </mdx>
    <mdx n="0" f="m">
      <t c="1">
        <n x="198"/>
      </t>
    </mdx>
    <mdx n="0" f="m">
      <t c="1">
        <n x="199"/>
      </t>
    </mdx>
    <mdx n="0" f="m">
      <t c="1">
        <n x="200"/>
      </t>
    </mdx>
    <mdx n="0" f="m">
      <t c="1">
        <n x="201"/>
      </t>
    </mdx>
    <mdx n="0" f="v">
      <t c="2" si="29">
        <n x="44"/>
        <n x="17"/>
      </t>
    </mdx>
    <mdx n="0" f="v">
      <t c="2" si="29">
        <n x="52"/>
        <n x="17"/>
      </t>
    </mdx>
    <mdx n="0" f="v">
      <t c="2" si="29">
        <n x="45"/>
        <n x="17"/>
      </t>
    </mdx>
    <mdx n="0" f="v">
      <t c="2" si="29">
        <n x="42"/>
        <n x="17"/>
      </t>
    </mdx>
    <mdx n="0" f="v">
      <t c="2" si="29">
        <n x="46"/>
        <n x="17"/>
      </t>
    </mdx>
    <mdx n="0" f="v">
      <t c="2" si="29">
        <n x="53"/>
        <n x="17"/>
      </t>
    </mdx>
    <mdx n="0" f="v">
      <t c="2" si="29">
        <n x="47"/>
        <n x="17"/>
      </t>
    </mdx>
    <mdx n="0" f="v">
      <t c="2" si="29">
        <n x="54"/>
        <n x="17"/>
      </t>
    </mdx>
    <mdx n="0" f="v">
      <t c="2" si="29">
        <n x="48"/>
        <n x="17"/>
      </t>
    </mdx>
    <mdx n="0" f="v">
      <t c="2" si="29">
        <n x="43"/>
        <n x="17"/>
      </t>
    </mdx>
    <mdx n="0" f="v">
      <t c="2" si="29">
        <n x="51"/>
        <n x="17"/>
      </t>
    </mdx>
    <mdx n="0" f="v">
      <t c="2" si="29">
        <n x="39"/>
        <n x="17"/>
      </t>
    </mdx>
    <mdx n="0" f="v">
      <t c="2" si="29">
        <n x="41"/>
        <n x="17"/>
      </t>
    </mdx>
    <mdx n="0" f="v">
      <t c="2" si="29">
        <n x="38"/>
        <n x="17"/>
      </t>
    </mdx>
    <mdx n="0" f="v">
      <t c="2" si="29">
        <n x="50"/>
        <n x="17"/>
      </t>
    </mdx>
    <mdx n="0" f="v">
      <t c="2" si="29">
        <n x="37"/>
        <n x="17"/>
      </t>
    </mdx>
    <mdx n="0" f="v">
      <t c="2" si="29">
        <n x="40"/>
        <n x="17"/>
      </t>
    </mdx>
    <mdx n="0" f="v">
      <t c="2" si="29">
        <n x="36"/>
        <n x="17"/>
      </t>
    </mdx>
    <mdx n="0" f="v">
      <t c="2" si="29">
        <n x="49"/>
        <n x="17"/>
      </t>
    </mdx>
    <mdx n="0" f="v">
      <t c="2" si="29">
        <n x="35"/>
        <n x="17"/>
      </t>
    </mdx>
    <mdx n="0" f="v">
      <t c="2" si="29">
        <n x="34"/>
        <n x="17"/>
      </t>
    </mdx>
    <mdx n="0" f="v">
      <t c="2" si="29">
        <n x="175"/>
        <n x="17"/>
      </t>
    </mdx>
    <mdx n="0" f="v">
      <t c="2" si="29">
        <n x="176"/>
        <n x="17"/>
      </t>
    </mdx>
    <mdx n="0" f="v">
      <t c="2" si="29">
        <n x="177"/>
        <n x="17"/>
      </t>
    </mdx>
    <mdx n="0" f="v">
      <t c="2" si="29">
        <n x="178"/>
        <n x="17"/>
      </t>
    </mdx>
    <mdx n="0" f="v">
      <t c="2" si="29">
        <n x="179"/>
        <n x="17"/>
      </t>
    </mdx>
    <mdx n="0" f="v">
      <t c="2" si="29">
        <n x="180"/>
        <n x="17"/>
      </t>
    </mdx>
    <mdx n="0" f="v">
      <t c="2" si="29">
        <n x="181"/>
        <n x="17"/>
      </t>
    </mdx>
    <mdx n="0" f="v">
      <t c="2" si="29">
        <n x="182"/>
        <n x="17"/>
      </t>
    </mdx>
    <mdx n="0" f="v">
      <t c="2" si="29">
        <n x="183"/>
        <n x="17"/>
      </t>
    </mdx>
    <mdx n="0" f="v">
      <t c="2" si="29">
        <n x="184"/>
        <n x="17"/>
      </t>
    </mdx>
    <mdx n="0" f="v">
      <t c="2" si="29">
        <n x="185"/>
        <n x="17"/>
      </t>
    </mdx>
    <mdx n="0" f="v">
      <t c="2" si="29">
        <n x="186"/>
        <n x="17"/>
      </t>
    </mdx>
    <mdx n="0" f="v">
      <t c="2" si="29">
        <n x="187"/>
        <n x="17"/>
      </t>
    </mdx>
    <mdx n="0" f="v">
      <t c="2" si="29">
        <n x="188"/>
        <n x="17"/>
      </t>
    </mdx>
    <mdx n="0" f="v">
      <t c="2" si="29">
        <n x="189"/>
        <n x="17"/>
      </t>
    </mdx>
    <mdx n="0" f="v">
      <t c="2" si="29">
        <n x="190"/>
        <n x="17"/>
      </t>
    </mdx>
    <mdx n="0" f="v">
      <t c="2" si="29">
        <n x="191"/>
        <n x="17"/>
      </t>
    </mdx>
    <mdx n="0" f="v">
      <t c="2" si="29">
        <n x="192"/>
        <n x="17"/>
      </t>
    </mdx>
    <mdx n="0" f="v">
      <t c="2" si="29">
        <n x="193"/>
        <n x="17"/>
      </t>
    </mdx>
    <mdx n="0" f="v">
      <t c="2" si="29">
        <n x="194"/>
        <n x="17"/>
      </t>
    </mdx>
    <mdx n="0" f="v">
      <t c="2" si="29">
        <n x="195"/>
        <n x="17"/>
      </t>
    </mdx>
    <mdx n="0" f="v">
      <t c="2" si="29">
        <n x="196"/>
        <n x="17"/>
      </t>
    </mdx>
    <mdx n="0" f="v">
      <t c="2" si="29">
        <n x="197"/>
        <n x="17"/>
      </t>
    </mdx>
    <mdx n="0" f="v">
      <t c="2" si="29">
        <n x="198"/>
        <n x="17"/>
      </t>
    </mdx>
    <mdx n="0" f="v">
      <t c="2" si="29">
        <n x="199"/>
        <n x="17"/>
      </t>
    </mdx>
    <mdx n="0" f="v">
      <t c="2" si="29">
        <n x="200"/>
        <n x="17"/>
      </t>
    </mdx>
    <mdx n="0" f="v">
      <t c="2" si="29">
        <n x="201"/>
        <n x="17"/>
      </t>
    </mdx>
    <mdx n="0" f="m">
      <t c="1">
        <n x="202"/>
      </t>
    </mdx>
    <mdx n="0" f="m">
      <t c="1">
        <n x="203"/>
      </t>
    </mdx>
    <mdx n="210" f="s">
      <ms ns="205" c="0"/>
    </mdx>
    <mdx n="210" f="m">
      <t c="1">
        <n x="211"/>
      </t>
    </mdx>
    <mdx n="210" f="m">
      <t c="1">
        <n x="212"/>
      </t>
    </mdx>
    <mdx n="210" f="m">
      <t c="1">
        <n x="213"/>
      </t>
    </mdx>
    <mdx n="210" f="m">
      <t c="1">
        <n x="214"/>
      </t>
    </mdx>
    <mdx n="210" f="m">
      <t c="1">
        <n x="215"/>
      </t>
    </mdx>
    <mdx n="210" f="m">
      <t c="1">
        <n x="216"/>
      </t>
    </mdx>
    <mdx n="210" f="m">
      <t c="1">
        <n x="217"/>
      </t>
    </mdx>
    <mdx n="210" f="m">
      <t c="1">
        <n x="207"/>
      </t>
    </mdx>
    <mdx n="210" f="m">
      <t c="1">
        <n x="218"/>
      </t>
    </mdx>
    <mdx n="210" f="m">
      <t c="1">
        <n x="219"/>
      </t>
    </mdx>
    <mdx n="210" f="m">
      <t c="1">
        <n x="220"/>
      </t>
    </mdx>
    <mdx n="210" f="m">
      <t c="1">
        <n x="221"/>
      </t>
    </mdx>
    <mdx n="210" f="m">
      <t c="1">
        <n x="208"/>
      </t>
    </mdx>
    <mdx n="210" f="m">
      <t c="1">
        <n x="222"/>
      </t>
    </mdx>
    <mdx n="210" f="m">
      <t c="1">
        <n x="223"/>
      </t>
    </mdx>
    <mdx n="210" f="m">
      <t c="1">
        <n x="224"/>
      </t>
    </mdx>
    <mdx n="210" f="m">
      <t c="1">
        <n x="225"/>
      </t>
    </mdx>
    <mdx n="210" f="m">
      <t c="1">
        <n x="209"/>
      </t>
    </mdx>
    <mdx n="210" f="m">
      <t c="1">
        <n x="226"/>
      </t>
    </mdx>
    <mdx n="210" f="m">
      <t c="1">
        <n x="227"/>
      </t>
    </mdx>
    <mdx n="210" f="m">
      <t c="1">
        <n x="228"/>
      </t>
    </mdx>
    <mdx n="210" f="m">
      <t c="1">
        <n x="229"/>
      </t>
    </mdx>
    <mdx n="210" f="m">
      <t c="1">
        <n x="206"/>
      </t>
    </mdx>
    <mdx n="210" f="m">
      <t c="1">
        <n x="230"/>
      </t>
    </mdx>
    <mdx n="210" f="m">
      <t c="1">
        <n x="231"/>
      </t>
    </mdx>
    <mdx n="210" f="m">
      <t c="1">
        <n x="232"/>
      </t>
    </mdx>
    <mdx n="210" f="m">
      <t c="1">
        <n x="233"/>
      </t>
    </mdx>
    <mdx n="210" f="m">
      <t c="1">
        <n x="234"/>
      </t>
    </mdx>
    <mdx n="210" f="m">
      <t c="1">
        <n x="235"/>
      </t>
    </mdx>
    <mdx n="210" f="m">
      <t c="1">
        <n x="236"/>
      </t>
    </mdx>
    <mdx n="210" f="m">
      <t c="1">
        <n x="237"/>
      </t>
    </mdx>
    <mdx n="210" f="m">
      <t c="1">
        <n x="238"/>
      </t>
    </mdx>
    <mdx n="210" f="m">
      <t c="1">
        <n x="239"/>
      </t>
    </mdx>
    <mdx n="210" f="m">
      <t c="1">
        <n x="204"/>
      </t>
    </mdx>
    <mdx n="210" f="v">
      <t c="4" si="33">
        <n x="205" s="1"/>
        <n x="204"/>
        <n x="236"/>
        <n x="206"/>
      </t>
    </mdx>
    <mdx n="210" f="v">
      <t c="4" si="33">
        <n x="205" s="1"/>
        <n x="204"/>
        <n x="232"/>
        <n x="206"/>
      </t>
    </mdx>
    <mdx n="210" f="v">
      <t c="4" si="33">
        <n x="205" s="1"/>
        <n x="204"/>
        <n x="217"/>
        <n x="206"/>
      </t>
    </mdx>
    <mdx n="210" f="v">
      <t c="4" si="33">
        <n x="205" s="1"/>
        <n x="204"/>
        <n x="229"/>
        <n x="206"/>
      </t>
    </mdx>
    <mdx n="210" f="v">
      <t c="4" si="33">
        <n x="205" s="1"/>
        <n x="204"/>
        <n x="225"/>
        <n x="206"/>
      </t>
    </mdx>
    <mdx n="210" f="v">
      <t c="4" si="33">
        <n x="205" s="1"/>
        <n x="204"/>
        <n x="221"/>
        <n x="206"/>
      </t>
    </mdx>
    <mdx n="210" f="v">
      <t c="4" si="33">
        <n x="205" s="1"/>
        <n x="204"/>
        <n x="216"/>
        <n x="206"/>
      </t>
    </mdx>
    <mdx n="210" f="v">
      <t c="4" si="33">
        <n x="205" s="1"/>
        <n x="204"/>
        <n x="239"/>
        <n x="206"/>
      </t>
    </mdx>
    <mdx n="210" f="v">
      <t c="4" si="33">
        <n x="205" s="1"/>
        <n x="204"/>
        <n x="235"/>
        <n x="206"/>
      </t>
    </mdx>
    <mdx n="210" f="v">
      <t c="4" si="33">
        <n x="205" s="1"/>
        <n x="204"/>
        <n x="220"/>
        <n x="206"/>
      </t>
    </mdx>
    <mdx n="210" f="v">
      <t c="4" si="33">
        <n x="205" s="1"/>
        <n x="204"/>
        <n x="215"/>
        <n x="206"/>
      </t>
    </mdx>
    <mdx n="210" f="v">
      <t c="4" si="33">
        <n x="205" s="1"/>
        <n x="204"/>
        <n x="228"/>
        <n x="206"/>
      </t>
    </mdx>
    <mdx n="210" f="v">
      <t c="4" si="33">
        <n x="205" s="1"/>
        <n x="204"/>
        <n x="224"/>
        <n x="206"/>
      </t>
    </mdx>
    <mdx n="210" f="v">
      <t c="4" si="33">
        <n x="205" s="1"/>
        <n x="204"/>
        <n x="231"/>
        <n x="206"/>
      </t>
    </mdx>
    <mdx n="210" f="v">
      <t c="4" si="33">
        <n x="205" s="1"/>
        <n x="204"/>
        <n x="214"/>
        <n x="206"/>
      </t>
    </mdx>
    <mdx n="210" f="v">
      <t c="4" si="33">
        <n x="205" s="1"/>
        <n x="204"/>
        <n x="238"/>
        <n x="206"/>
      </t>
    </mdx>
    <mdx n="210" f="v">
      <t c="4" si="33">
        <n x="205" s="1"/>
        <n x="204"/>
        <n x="234"/>
        <n x="206"/>
      </t>
    </mdx>
    <mdx n="210" f="v">
      <t c="4" si="33">
        <n x="205" s="1"/>
        <n x="204"/>
        <n x="219"/>
        <n x="206"/>
      </t>
    </mdx>
    <mdx n="210" f="v">
      <t c="4" si="33">
        <n x="205" s="1"/>
        <n x="204"/>
        <n x="213"/>
        <n x="206"/>
      </t>
    </mdx>
    <mdx n="210" f="v">
      <t c="4" si="33">
        <n x="205" s="1"/>
        <n x="204"/>
        <n x="227"/>
        <n x="206"/>
      </t>
    </mdx>
    <mdx n="210" f="v">
      <t c="4" si="33">
        <n x="205" s="1"/>
        <n x="204"/>
        <n x="223"/>
        <n x="206"/>
      </t>
    </mdx>
    <mdx n="210" f="v">
      <t c="4" si="33">
        <n x="205" s="1"/>
        <n x="204"/>
        <n x="230"/>
        <n x="206"/>
      </t>
    </mdx>
    <mdx n="210" f="v">
      <t c="4" si="33">
        <n x="205" s="1"/>
        <n x="204"/>
        <n x="212"/>
        <n x="206"/>
      </t>
    </mdx>
    <mdx n="210" f="v">
      <t c="4" si="33">
        <n x="205" s="1"/>
        <n x="204"/>
        <n x="237"/>
        <n x="206"/>
      </t>
    </mdx>
    <mdx n="210" f="v">
      <t c="4" si="33">
        <n x="205" s="1"/>
        <n x="204"/>
        <n x="233"/>
        <n x="206"/>
      </t>
    </mdx>
    <mdx n="210" f="v">
      <t c="4" si="33">
        <n x="205" s="1"/>
        <n x="204"/>
        <n x="218"/>
        <n x="206"/>
      </t>
    </mdx>
    <mdx n="210" f="v">
      <t c="4" si="33">
        <n x="205" s="1"/>
        <n x="204"/>
        <n x="211"/>
        <n x="206"/>
      </t>
    </mdx>
    <mdx n="210" f="v">
      <t c="4" si="33">
        <n x="205" s="1"/>
        <n x="204"/>
        <n x="226"/>
        <n x="206"/>
      </t>
    </mdx>
    <mdx n="210" f="v">
      <t c="4" si="33">
        <n x="205" s="1"/>
        <n x="204"/>
        <n x="222"/>
        <n x="206"/>
      </t>
    </mdx>
    <mdx n="210" f="v">
      <t c="4" si="29">
        <n x="205" s="1"/>
        <n x="204"/>
        <n x="236"/>
        <n x="209"/>
      </t>
    </mdx>
    <mdx n="210" f="v">
      <t c="4" si="29">
        <n x="205" s="1"/>
        <n x="204"/>
        <n x="229"/>
        <n x="209"/>
      </t>
    </mdx>
    <mdx n="210" f="v">
      <t c="4" si="29">
        <n x="205" s="1"/>
        <n x="204"/>
        <n x="221"/>
        <n x="209"/>
      </t>
    </mdx>
    <mdx n="210" f="v">
      <t c="4" si="29">
        <n x="205" s="1"/>
        <n x="204"/>
        <n x="239"/>
        <n x="209"/>
      </t>
    </mdx>
    <mdx n="210" f="v">
      <t c="4" si="29">
        <n x="205" s="1"/>
        <n x="204"/>
        <n x="220"/>
        <n x="209"/>
      </t>
    </mdx>
    <mdx n="210" f="v">
      <t c="4" si="29">
        <n x="205" s="1"/>
        <n x="204"/>
        <n x="215"/>
        <n x="209"/>
      </t>
    </mdx>
    <mdx n="210" f="v">
      <t c="4" si="29">
        <n x="205" s="1"/>
        <n x="204"/>
        <n x="224"/>
        <n x="209"/>
      </t>
    </mdx>
    <mdx n="210" f="v">
      <t c="4" si="29">
        <n x="205" s="1"/>
        <n x="204"/>
        <n x="214"/>
        <n x="209"/>
      </t>
    </mdx>
    <mdx n="210" f="v">
      <t c="4" si="29">
        <n x="205" s="1"/>
        <n x="204"/>
        <n x="234"/>
        <n x="209"/>
      </t>
    </mdx>
    <mdx n="210" f="v">
      <t c="4" si="29">
        <n x="205" s="1"/>
        <n x="204"/>
        <n x="213"/>
        <n x="209"/>
      </t>
    </mdx>
    <mdx n="210" f="v">
      <t c="4" si="29">
        <n x="205" s="1"/>
        <n x="204"/>
        <n x="223"/>
        <n x="209"/>
      </t>
    </mdx>
    <mdx n="210" f="v">
      <t c="4" si="29">
        <n x="205" s="1"/>
        <n x="204"/>
        <n x="212"/>
        <n x="209"/>
      </t>
    </mdx>
    <mdx n="210" f="v">
      <t c="4" si="29">
        <n x="205" s="1"/>
        <n x="204"/>
        <n x="233"/>
        <n x="209"/>
      </t>
    </mdx>
    <mdx n="210" f="v">
      <t c="4" si="29">
        <n x="205" s="1"/>
        <n x="204"/>
        <n x="211"/>
        <n x="209"/>
      </t>
    </mdx>
    <mdx n="210" f="v">
      <t c="4" si="29">
        <n x="205" s="1"/>
        <n x="204"/>
        <n x="222"/>
        <n x="209"/>
      </t>
    </mdx>
    <mdx n="210" f="v">
      <t c="4" si="29">
        <n x="205" s="1"/>
        <n x="204"/>
        <n x="236"/>
        <n x="208"/>
      </t>
    </mdx>
    <mdx n="210" f="v">
      <t c="4" si="29">
        <n x="205" s="1"/>
        <n x="204"/>
        <n x="232"/>
        <n x="208"/>
      </t>
    </mdx>
    <mdx n="210" f="v">
      <t c="4" si="29">
        <n x="205" s="1"/>
        <n x="204"/>
        <n x="229"/>
        <n x="208"/>
      </t>
    </mdx>
    <mdx n="210" f="v">
      <t c="4" si="29">
        <n x="205" s="1"/>
        <n x="204"/>
        <n x="221"/>
        <n x="208"/>
      </t>
    </mdx>
    <mdx n="210" f="v">
      <t c="4" si="29">
        <n x="205" s="1"/>
        <n x="204"/>
        <n x="235"/>
        <n x="208"/>
      </t>
    </mdx>
    <mdx n="210" f="v">
      <t c="4" si="29">
        <n x="205" s="1"/>
        <n x="204"/>
        <n x="220"/>
        <n x="208"/>
      </t>
    </mdx>
    <mdx n="210" f="v">
      <t c="4" si="29">
        <n x="205" s="1"/>
        <n x="204"/>
        <n x="228"/>
        <n x="208"/>
      </t>
    </mdx>
    <mdx n="210" f="v">
      <t c="4" si="29">
        <n x="205" s="1"/>
        <n x="204"/>
        <n x="231"/>
        <n x="208"/>
      </t>
    </mdx>
    <mdx n="210" f="v">
      <t c="4" si="29">
        <n x="205" s="1"/>
        <n x="204"/>
        <n x="238"/>
        <n x="208"/>
      </t>
    </mdx>
    <mdx n="210" f="v">
      <t c="4" si="29">
        <n x="205" s="1"/>
        <n x="204"/>
        <n x="219"/>
        <n x="208"/>
      </t>
    </mdx>
    <mdx n="210" f="v">
      <t c="4" si="29">
        <n x="205" s="1"/>
        <n x="204"/>
        <n x="227"/>
        <n x="208"/>
      </t>
    </mdx>
    <mdx n="210" f="v">
      <t c="4" si="29">
        <n x="205" s="1"/>
        <n x="204"/>
        <n x="230"/>
        <n x="208"/>
      </t>
    </mdx>
    <mdx n="210" f="v">
      <t c="4" si="29">
        <n x="205" s="1"/>
        <n x="204"/>
        <n x="212"/>
        <n x="208"/>
      </t>
    </mdx>
    <mdx n="210" f="v">
      <t c="4" si="29">
        <n x="205" s="1"/>
        <n x="204"/>
        <n x="233"/>
        <n x="208"/>
      </t>
    </mdx>
    <mdx n="210" f="v">
      <t c="4" si="29">
        <n x="205" s="1"/>
        <n x="204"/>
        <n x="226"/>
        <n x="208"/>
      </t>
    </mdx>
    <mdx n="210" f="v">
      <t c="4" si="33">
        <n x="205" s="1"/>
        <n x="204"/>
        <n x="236"/>
        <n x="207"/>
      </t>
    </mdx>
    <mdx n="210" f="v">
      <t c="4" si="33">
        <n x="205" s="1"/>
        <n x="204"/>
        <n x="217"/>
        <n x="207"/>
      </t>
    </mdx>
    <mdx n="210" f="v">
      <t c="4" si="33">
        <n x="205" s="1"/>
        <n x="204"/>
        <n x="221"/>
        <n x="207"/>
      </t>
    </mdx>
    <mdx n="210" f="v">
      <t c="4" si="33">
        <n x="205" s="1"/>
        <n x="204"/>
        <n x="239"/>
        <n x="207"/>
      </t>
    </mdx>
    <mdx n="210" f="v">
      <t c="4" si="33">
        <n x="205" s="1"/>
        <n x="204"/>
        <n x="220"/>
        <n x="207"/>
      </t>
    </mdx>
    <mdx n="210" f="v">
      <t c="4" si="33">
        <n x="205" s="1"/>
        <n x="204"/>
        <n x="228"/>
        <n x="207"/>
      </t>
    </mdx>
    <mdx n="210" f="v">
      <t c="4" si="33">
        <n x="205" s="1"/>
        <n x="204"/>
        <n x="231"/>
        <n x="207"/>
      </t>
    </mdx>
    <mdx n="210" f="v">
      <t c="4" si="33">
        <n x="205" s="1"/>
        <n x="204"/>
        <n x="234"/>
        <n x="207"/>
      </t>
    </mdx>
    <mdx n="210" f="v">
      <t c="4" si="33">
        <n x="205" s="1"/>
        <n x="204"/>
        <n x="213"/>
        <n x="207"/>
      </t>
    </mdx>
    <mdx n="210" f="v">
      <t c="4" si="33">
        <n x="205" s="1"/>
        <n x="204"/>
        <n x="230"/>
        <n x="207"/>
      </t>
    </mdx>
    <mdx n="210" f="v">
      <t c="4" si="33">
        <n x="205" s="1"/>
        <n x="204"/>
        <n x="233"/>
        <n x="207"/>
      </t>
    </mdx>
    <mdx n="210" f="v">
      <t c="4" si="33">
        <n x="205" s="1"/>
        <n x="204"/>
        <n x="222"/>
        <n x="207"/>
      </t>
    </mdx>
    <mdx n="210" f="v">
      <t c="4" si="29">
        <n x="205" s="1"/>
        <n x="204"/>
        <n x="232"/>
        <n x="209"/>
      </t>
    </mdx>
    <mdx n="210" f="v">
      <t c="4" si="29">
        <n x="205" s="1"/>
        <n x="204"/>
        <n x="217"/>
        <n x="209"/>
      </t>
    </mdx>
    <mdx n="210" f="v">
      <t c="4" si="29">
        <n x="205" s="1"/>
        <n x="204"/>
        <n x="225"/>
        <n x="209"/>
      </t>
    </mdx>
    <mdx n="210" f="v">
      <t c="4" si="29">
        <n x="205" s="1"/>
        <n x="204"/>
        <n x="216"/>
        <n x="209"/>
      </t>
    </mdx>
    <mdx n="210" f="v">
      <t c="4" si="29">
        <n x="205" s="1"/>
        <n x="204"/>
        <n x="235"/>
        <n x="209"/>
      </t>
    </mdx>
    <mdx n="210" f="v">
      <t c="4" si="29">
        <n x="205" s="1"/>
        <n x="204"/>
        <n x="228"/>
        <n x="209"/>
      </t>
    </mdx>
    <mdx n="210" f="v">
      <t c="4" si="29">
        <n x="205" s="1"/>
        <n x="204"/>
        <n x="231"/>
        <n x="209"/>
      </t>
    </mdx>
    <mdx n="210" f="v">
      <t c="4" si="29">
        <n x="205" s="1"/>
        <n x="204"/>
        <n x="238"/>
        <n x="209"/>
      </t>
    </mdx>
    <mdx n="210" f="v">
      <t c="4" si="29">
        <n x="205" s="1"/>
        <n x="204"/>
        <n x="219"/>
        <n x="209"/>
      </t>
    </mdx>
    <mdx n="210" f="v">
      <t c="4" si="29">
        <n x="205" s="1"/>
        <n x="204"/>
        <n x="227"/>
        <n x="209"/>
      </t>
    </mdx>
    <mdx n="210" f="v">
      <t c="4" si="29">
        <n x="205" s="1"/>
        <n x="204"/>
        <n x="230"/>
        <n x="209"/>
      </t>
    </mdx>
    <mdx n="210" f="v">
      <t c="4" si="29">
        <n x="205" s="1"/>
        <n x="204"/>
        <n x="237"/>
        <n x="209"/>
      </t>
    </mdx>
    <mdx n="210" f="v">
      <t c="4" si="29">
        <n x="205" s="1"/>
        <n x="204"/>
        <n x="218"/>
        <n x="209"/>
      </t>
    </mdx>
    <mdx n="210" f="v">
      <t c="4" si="29">
        <n x="205" s="1"/>
        <n x="204"/>
        <n x="226"/>
        <n x="209"/>
      </t>
    </mdx>
    <mdx n="210" f="v">
      <t c="4" si="29">
        <n x="205" s="1"/>
        <n x="204"/>
        <n x="217"/>
        <n x="208"/>
      </t>
    </mdx>
    <mdx n="210" f="v">
      <t c="4" si="29">
        <n x="205" s="1"/>
        <n x="204"/>
        <n x="225"/>
        <n x="208"/>
      </t>
    </mdx>
    <mdx n="210" f="v">
      <t c="4" si="29">
        <n x="205" s="1"/>
        <n x="204"/>
        <n x="216"/>
        <n x="208"/>
      </t>
    </mdx>
    <mdx n="210" f="v">
      <t c="4" si="29">
        <n x="205" s="1"/>
        <n x="204"/>
        <n x="239"/>
        <n x="208"/>
      </t>
    </mdx>
    <mdx n="210" f="v">
      <t c="4" si="29">
        <n x="205" s="1"/>
        <n x="204"/>
        <n x="215"/>
        <n x="208"/>
      </t>
    </mdx>
    <mdx n="210" f="v">
      <t c="4" si="29">
        <n x="205" s="1"/>
        <n x="204"/>
        <n x="224"/>
        <n x="208"/>
      </t>
    </mdx>
    <mdx n="210" f="v">
      <t c="4" si="29">
        <n x="205" s="1"/>
        <n x="204"/>
        <n x="214"/>
        <n x="208"/>
      </t>
    </mdx>
    <mdx n="210" f="v">
      <t c="4" si="29">
        <n x="205" s="1"/>
        <n x="204"/>
        <n x="234"/>
        <n x="208"/>
      </t>
    </mdx>
    <mdx n="210" f="v">
      <t c="4" si="29">
        <n x="205" s="1"/>
        <n x="204"/>
        <n x="213"/>
        <n x="208"/>
      </t>
    </mdx>
    <mdx n="210" f="v">
      <t c="4" si="29">
        <n x="205" s="1"/>
        <n x="204"/>
        <n x="223"/>
        <n x="208"/>
      </t>
    </mdx>
    <mdx n="210" f="v">
      <t c="4" si="29">
        <n x="205" s="1"/>
        <n x="204"/>
        <n x="237"/>
        <n x="208"/>
      </t>
    </mdx>
    <mdx n="210" f="v">
      <t c="4" si="29">
        <n x="205" s="1"/>
        <n x="204"/>
        <n x="218"/>
        <n x="208"/>
      </t>
    </mdx>
    <mdx n="210" f="v">
      <t c="4" si="29">
        <n x="205" s="1"/>
        <n x="204"/>
        <n x="211"/>
        <n x="208"/>
      </t>
    </mdx>
    <mdx n="210" f="v">
      <t c="4" si="29">
        <n x="205" s="1"/>
        <n x="204"/>
        <n x="222"/>
        <n x="208"/>
      </t>
    </mdx>
    <mdx n="210" f="v">
      <t c="4" si="33">
        <n x="205" s="1"/>
        <n x="204"/>
        <n x="232"/>
        <n x="207"/>
      </t>
    </mdx>
    <mdx n="210" f="v">
      <t c="4" si="33">
        <n x="205" s="1"/>
        <n x="204"/>
        <n x="229"/>
        <n x="207"/>
      </t>
    </mdx>
    <mdx n="210" f="v">
      <t c="4" si="33">
        <n x="205" s="1"/>
        <n x="204"/>
        <n x="225"/>
        <n x="207"/>
      </t>
    </mdx>
    <mdx n="210" f="v">
      <t c="4" si="33">
        <n x="205" s="1"/>
        <n x="204"/>
        <n x="216"/>
        <n x="207"/>
      </t>
    </mdx>
    <mdx n="210" f="v">
      <t c="4" si="33">
        <n x="205" s="1"/>
        <n x="204"/>
        <n x="235"/>
        <n x="207"/>
      </t>
    </mdx>
    <mdx n="210" f="v">
      <t c="4" si="33">
        <n x="205" s="1"/>
        <n x="204"/>
        <n x="215"/>
        <n x="207"/>
      </t>
    </mdx>
    <mdx n="210" f="v">
      <t c="4" si="33">
        <n x="205" s="1"/>
        <n x="204"/>
        <n x="224"/>
        <n x="207"/>
      </t>
    </mdx>
    <mdx n="210" f="v">
      <t c="4" si="33">
        <n x="205" s="1"/>
        <n x="204"/>
        <n x="214"/>
        <n x="207"/>
      </t>
    </mdx>
    <mdx n="210" f="v">
      <t c="4" si="33">
        <n x="205" s="1"/>
        <n x="204"/>
        <n x="238"/>
        <n x="207"/>
      </t>
    </mdx>
    <mdx n="210" f="v">
      <t c="4" si="33">
        <n x="205" s="1"/>
        <n x="204"/>
        <n x="219"/>
        <n x="207"/>
      </t>
    </mdx>
    <mdx n="210" f="v">
      <t c="4" si="33">
        <n x="205" s="1"/>
        <n x="204"/>
        <n x="227"/>
        <n x="207"/>
      </t>
    </mdx>
    <mdx n="210" f="v">
      <t c="4" si="33">
        <n x="205" s="1"/>
        <n x="204"/>
        <n x="223"/>
        <n x="207"/>
      </t>
    </mdx>
    <mdx n="210" f="v">
      <t c="4" si="33">
        <n x="205" s="1"/>
        <n x="204"/>
        <n x="212"/>
        <n x="207"/>
      </t>
    </mdx>
    <mdx n="210" f="v">
      <t c="4" si="33">
        <n x="205" s="1"/>
        <n x="204"/>
        <n x="237"/>
        <n x="207"/>
      </t>
    </mdx>
    <mdx n="210" f="v">
      <t c="4" si="33">
        <n x="205" s="1"/>
        <n x="204"/>
        <n x="218"/>
        <n x="207"/>
      </t>
    </mdx>
    <mdx n="210" f="v">
      <t c="4" si="33">
        <n x="205" s="1"/>
        <n x="204"/>
        <n x="211"/>
        <n x="207"/>
      </t>
    </mdx>
    <mdx n="210" f="v">
      <t c="4" si="33">
        <n x="205" s="1"/>
        <n x="204"/>
        <n x="226"/>
        <n x="207"/>
      </t>
    </mdx>
    <mdx n="0" f="v">
      <t c="5" si="29">
        <n x="241"/>
        <n x="17"/>
        <n x="9"/>
        <n x="23"/>
        <n x="242" s="1"/>
      </t>
    </mdx>
    <mdx n="0" f="v">
      <t c="5" si="33">
        <n x="241"/>
        <n x="30"/>
        <n x="2"/>
        <n x="43"/>
        <n x="242" s="1"/>
      </t>
    </mdx>
    <mdx n="0" f="v">
      <t c="5" si="29">
        <n x="241"/>
        <n x="17"/>
        <n x="9"/>
        <n x="7"/>
        <n x="242" s="1"/>
      </t>
    </mdx>
    <mdx n="0" f="v">
      <t c="4" si="29">
        <n x="241"/>
        <n x="43"/>
        <n x="17"/>
        <n x="242" s="1"/>
      </t>
    </mdx>
    <mdx n="0" f="v">
      <t c="5" si="33">
        <n x="241"/>
        <n x="30"/>
        <n x="14"/>
        <n x="34"/>
        <n x="242" s="1"/>
      </t>
    </mdx>
    <mdx n="0" f="v">
      <t c="5" si="29">
        <n x="241"/>
        <n x="17"/>
        <n x="14"/>
        <n x="23"/>
        <n x="242" s="1"/>
      </t>
    </mdx>
    <mdx n="0" f="v">
      <t c="5" si="33">
        <n x="241"/>
        <n x="30"/>
        <n x="5"/>
        <n x="34"/>
        <n x="242" s="1"/>
      </t>
    </mdx>
    <mdx n="0" f="v">
      <t c="5" si="29">
        <n x="241"/>
        <n x="17"/>
        <n x="26"/>
        <n x="23"/>
        <n x="242" s="1"/>
      </t>
    </mdx>
    <mdx n="0" f="v">
      <t c="5" si="29">
        <n x="241"/>
        <n x="17"/>
        <n x="202"/>
        <n x="7"/>
        <n x="242" s="1"/>
      </t>
    </mdx>
    <mdx n="0" f="v">
      <t c="4" si="29">
        <n x="241"/>
        <n x="48"/>
        <n x="31"/>
        <n x="242" s="1"/>
      </t>
    </mdx>
    <mdx n="0" f="v">
      <t c="5" si="29">
        <n x="241"/>
        <n x="17"/>
        <n x="3"/>
        <n x="23"/>
        <n x="242" s="1"/>
      </t>
    </mdx>
    <mdx n="0" f="v">
      <t c="4" si="33">
        <n x="241"/>
        <n x="201"/>
        <n x="30"/>
        <n x="242" s="1"/>
      </t>
    </mdx>
    <mdx n="0" f="v">
      <t c="5" si="33">
        <n x="241"/>
        <n x="30"/>
        <n x="1"/>
        <n x="34"/>
        <n x="242" s="1"/>
      </t>
    </mdx>
    <mdx n="0" f="v">
      <t c="5" si="29">
        <n x="241"/>
        <n x="17"/>
        <n x="16"/>
        <n x="23"/>
        <n x="242" s="1"/>
      </t>
    </mdx>
    <mdx n="0" f="v">
      <t c="4" si="29">
        <n x="241"/>
        <n x="180"/>
        <n x="31"/>
        <n x="242" s="1"/>
      </t>
    </mdx>
    <mdx n="0" f="v">
      <t c="5" si="33">
        <n x="241"/>
        <n x="30"/>
        <n x="15"/>
        <n x="35"/>
        <n x="242" s="1"/>
      </t>
    </mdx>
    <mdx n="0" f="v">
      <t c="4" si="29">
        <n x="241"/>
        <n x="50"/>
        <n x="17"/>
        <n x="242" s="1"/>
      </t>
    </mdx>
    <mdx n="0" f="v">
      <t c="5" si="29">
        <n x="241"/>
        <n x="17"/>
        <n x="4"/>
        <n x="28"/>
        <n x="242" s="1"/>
      </t>
    </mdx>
    <mdx n="0" f="v">
      <t c="4" si="33">
        <n x="241"/>
        <n x="176"/>
        <n x="32"/>
        <n x="242" s="1"/>
      </t>
    </mdx>
    <mdx n="0" f="v">
      <t c="5" si="29">
        <n x="241"/>
        <n x="17"/>
        <n x="13"/>
        <n x="28"/>
        <n x="242" s="1"/>
      </t>
    </mdx>
    <mdx n="0" f="v">
      <t c="4" si="29">
        <n x="241"/>
        <n x="53"/>
        <n x="17"/>
        <n x="242" s="1"/>
      </t>
    </mdx>
    <mdx n="0" f="v">
      <t c="4" si="33">
        <n x="241"/>
        <n x="37"/>
        <n x="30"/>
        <n x="242" s="1"/>
      </t>
    </mdx>
    <mdx n="0" f="v">
      <t c="4" si="29">
        <n x="241"/>
        <n x="44"/>
        <n x="17"/>
        <n x="242" s="1"/>
      </t>
    </mdx>
    <mdx n="0" f="v">
      <t c="4" si="29">
        <n x="241"/>
        <n x="36"/>
        <n x="31"/>
        <n x="242" s="1"/>
      </t>
    </mdx>
    <mdx n="0" f="v">
      <t c="5" si="29">
        <n x="241"/>
        <n x="17"/>
        <n x="3"/>
        <n x="7"/>
        <n x="242" s="1"/>
      </t>
    </mdx>
    <mdx n="0" f="v">
      <t c="5" si="29">
        <n x="241"/>
        <n x="17"/>
        <n x="8"/>
        <n x="28"/>
        <n x="242" s="1"/>
      </t>
    </mdx>
    <mdx n="0" f="v">
      <t c="5" si="33">
        <n x="241"/>
        <n x="30"/>
        <n x="5"/>
        <n x="43"/>
        <n x="242" s="1"/>
      </t>
    </mdx>
    <mdx n="0" f="v">
      <t c="5" si="29">
        <n x="241"/>
        <n x="17"/>
        <n x="3"/>
        <n x="28"/>
        <n x="242" s="1"/>
      </t>
    </mdx>
    <mdx n="0" f="v">
      <t c="4" si="29">
        <n x="241"/>
        <n x="38"/>
        <n x="31"/>
        <n x="242" s="1"/>
      </t>
    </mdx>
    <mdx n="0" f="v">
      <t c="4" si="29">
        <n x="241"/>
        <n x="201"/>
        <n x="31"/>
        <n x="242" s="1"/>
      </t>
    </mdx>
    <mdx n="0" f="v">
      <t c="5" si="29">
        <n x="241"/>
        <n x="17"/>
        <n x="22"/>
        <n x="28"/>
        <n x="242" s="1"/>
      </t>
    </mdx>
    <mdx n="0" f="v">
      <t c="5" si="33">
        <n x="241"/>
        <n x="30"/>
        <n x="13"/>
        <n x="43"/>
        <n x="242" s="1"/>
      </t>
    </mdx>
    <mdx n="0" f="v">
      <t c="5" si="33">
        <n x="241"/>
        <n x="30"/>
        <n x="3"/>
        <n x="35"/>
        <n x="242" s="1"/>
      </t>
    </mdx>
    <mdx n="0" f="v">
      <t c="5" si="29">
        <n x="241"/>
        <n x="17"/>
        <n x="14"/>
        <n x="7"/>
        <n x="242" s="1"/>
      </t>
    </mdx>
    <mdx n="0" f="v">
      <t c="5" si="29">
        <n x="241"/>
        <n x="17"/>
        <n x="20"/>
        <n x="23"/>
        <n x="242" s="1"/>
      </t>
    </mdx>
    <mdx n="0" f="v">
      <t c="5" si="33">
        <n x="241"/>
        <n x="30"/>
        <n x="202"/>
        <n x="35"/>
        <n x="242" s="1"/>
      </t>
    </mdx>
    <mdx n="0" f="v">
      <t c="5" si="29">
        <n x="241"/>
        <n x="17"/>
        <n x="5"/>
        <n x="7"/>
        <n x="242" s="1"/>
      </t>
    </mdx>
    <mdx n="0" f="v">
      <t c="5" si="33">
        <n x="241"/>
        <n x="30"/>
        <n x="12"/>
        <n x="35"/>
        <n x="242" s="1"/>
      </t>
    </mdx>
    <mdx n="0" f="v">
      <t c="5" si="33">
        <n x="241"/>
        <n x="30"/>
        <n x="21"/>
        <n x="43"/>
        <n x="242" s="1"/>
      </t>
    </mdx>
    <mdx n="0" f="v">
      <t c="5" si="33">
        <n x="241"/>
        <n x="30"/>
        <n x="203"/>
        <n x="34"/>
        <n x="242" s="1"/>
      </t>
    </mdx>
    <mdx n="0" f="v">
      <t c="5" si="33">
        <n x="241"/>
        <n x="30"/>
        <n x="16"/>
        <n x="35"/>
        <n x="242" s="1"/>
      </t>
    </mdx>
    <mdx n="0" f="v">
      <t c="5" si="33">
        <n x="241"/>
        <n x="30"/>
        <n x="3"/>
        <n x="43"/>
        <n x="242" s="1"/>
      </t>
    </mdx>
    <mdx n="0" f="v">
      <t c="5" si="33">
        <n x="241"/>
        <n x="30"/>
        <n x="203"/>
        <n x="35"/>
        <n x="242" s="1"/>
      </t>
    </mdx>
    <mdx n="0" f="v">
      <t c="5" si="33">
        <n x="241"/>
        <n x="30"/>
        <n x="24"/>
        <n x="35"/>
        <n x="242" s="1"/>
      </t>
    </mdx>
    <mdx n="0" f="v">
      <t c="4" si="33">
        <n x="241"/>
        <n x="52"/>
        <n x="32"/>
        <n x="242" s="1"/>
      </t>
    </mdx>
    <mdx n="0" f="v">
      <t c="5" si="29">
        <n x="241"/>
        <n x="17"/>
        <n x="16"/>
        <n x="7"/>
        <n x="242" s="1"/>
      </t>
    </mdx>
    <mdx n="0" f="v">
      <t c="4" si="33">
        <n x="241"/>
        <n x="35"/>
        <n x="30"/>
        <n x="242" s="1"/>
      </t>
    </mdx>
    <mdx n="0" f="v">
      <t c="5" si="33">
        <n x="241"/>
        <n x="30"/>
        <n x="22"/>
        <n x="43"/>
        <n x="242" s="1"/>
      </t>
    </mdx>
    <mdx n="0" f="v">
      <t c="5" si="29">
        <n x="241"/>
        <n x="17"/>
        <n x="26"/>
        <n x="7"/>
        <n x="242" s="1"/>
      </t>
    </mdx>
    <mdx n="0" f="v">
      <t c="5" si="29">
        <n x="241"/>
        <n x="17"/>
        <n x="203"/>
        <n x="7"/>
        <n x="242" s="1"/>
      </t>
    </mdx>
    <mdx n="0" f="v">
      <t c="4" si="33">
        <n x="241"/>
        <n x="48"/>
        <n x="32"/>
        <n x="242" s="1"/>
      </t>
    </mdx>
    <mdx n="0" f="v">
      <t c="4" si="29">
        <n x="241"/>
        <n x="38"/>
        <n x="17"/>
        <n x="242" s="1"/>
      </t>
    </mdx>
    <mdx n="0" f="v">
      <t c="5" si="29">
        <n x="241"/>
        <n x="17"/>
        <n x="5"/>
        <n x="23"/>
        <n x="242" s="1"/>
      </t>
    </mdx>
    <mdx n="0" f="v">
      <t c="4" si="29">
        <n x="241"/>
        <n x="51"/>
        <n x="17"/>
        <n x="242" s="1"/>
      </t>
    </mdx>
    <mdx n="0" f="v">
      <t c="4" si="33">
        <n x="241"/>
        <n x="179"/>
        <n x="30"/>
        <n x="242" s="1"/>
      </t>
    </mdx>
    <mdx n="0" f="v">
      <t c="5" si="33">
        <n x="241"/>
        <n x="30"/>
        <n x="10"/>
        <n x="43"/>
        <n x="242" s="1"/>
      </t>
    </mdx>
    <mdx n="0" f="v">
      <t c="4" si="29">
        <n x="241"/>
        <n x="179"/>
        <n x="17"/>
        <n x="242" s="1"/>
      </t>
    </mdx>
    <mdx n="0" f="v">
      <t c="4" si="33">
        <n x="241"/>
        <n x="40"/>
        <n x="30"/>
        <n x="242" s="1"/>
      </t>
    </mdx>
    <mdx n="0" f="v">
      <t c="5" si="33">
        <n x="241"/>
        <n x="30"/>
        <n x="27"/>
        <n x="34"/>
        <n x="242" s="1"/>
      </t>
    </mdx>
    <mdx n="0" f="v">
      <t c="4" si="33">
        <n x="241"/>
        <n x="45"/>
        <n x="32"/>
        <n x="242" s="1"/>
      </t>
    </mdx>
    <mdx n="0" f="v">
      <t c="5" si="29">
        <n x="241"/>
        <n x="17"/>
        <n x="25"/>
        <n x="28"/>
        <n x="242" s="1"/>
      </t>
    </mdx>
    <mdx n="0" f="v">
      <t c="5" si="33">
        <n x="241"/>
        <n x="30"/>
        <n x="26"/>
        <n x="43"/>
        <n x="242" s="1"/>
      </t>
    </mdx>
    <mdx n="0" f="v">
      <t c="5" si="29">
        <n x="241"/>
        <n x="17"/>
        <n x="12"/>
        <n x="28"/>
        <n x="242" s="1"/>
      </t>
    </mdx>
    <mdx n="0" f="v">
      <t c="5" si="29">
        <n x="241"/>
        <n x="17"/>
        <n x="10"/>
        <n x="28"/>
        <n x="242" s="1"/>
      </t>
    </mdx>
    <mdx n="0" f="v">
      <t c="4" si="33">
        <n x="241"/>
        <n x="54"/>
        <n x="32"/>
        <n x="242" s="1"/>
      </t>
    </mdx>
    <mdx n="0" f="v">
      <t c="4" si="33">
        <n x="241"/>
        <n x="47"/>
        <n x="30"/>
        <n x="242" s="1"/>
      </t>
    </mdx>
    <mdx n="0" f="v">
      <t c="4" si="33">
        <n x="241"/>
        <n x="53"/>
        <n x="30"/>
        <n x="242" s="1"/>
      </t>
    </mdx>
    <mdx n="0" f="v">
      <t c="5" si="29">
        <n x="241"/>
        <n x="17"/>
        <n x="202"/>
        <n x="23"/>
        <n x="242" s="1"/>
      </t>
    </mdx>
    <mdx n="0" f="v">
      <t c="4" si="29">
        <n x="241"/>
        <n x="47"/>
        <n x="17"/>
        <n x="242" s="1"/>
      </t>
    </mdx>
    <mdx n="0" f="v">
      <t c="4" si="29">
        <n x="241"/>
        <n x="52"/>
        <n x="31"/>
        <n x="242" s="1"/>
      </t>
    </mdx>
    <mdx n="0" f="v">
      <t c="5" si="29">
        <n x="241"/>
        <n x="17"/>
        <n x="6"/>
        <n x="23"/>
        <n x="242" s="1"/>
      </t>
    </mdx>
    <mdx n="0" f="v">
      <t c="5" si="33">
        <n x="241"/>
        <n x="30"/>
        <n x="14"/>
        <n x="43"/>
        <n x="242" s="1"/>
      </t>
    </mdx>
    <mdx n="0" f="v">
      <t c="5" si="29">
        <n x="241"/>
        <n x="17"/>
        <n x="11"/>
        <n x="23"/>
        <n x="242" s="1"/>
      </t>
    </mdx>
    <mdx n="0" f="v">
      <t c="4" si="29">
        <n x="241"/>
        <n x="45"/>
        <n x="17"/>
        <n x="242" s="1"/>
      </t>
    </mdx>
    <mdx n="0" f="v">
      <t c="4" si="33">
        <n x="241"/>
        <n x="180"/>
        <n x="32"/>
        <n x="242" s="1"/>
      </t>
    </mdx>
    <mdx n="0" f="v">
      <t c="5" si="29">
        <n x="241"/>
        <n x="17"/>
        <n x="22"/>
        <n x="23"/>
        <n x="242" s="1"/>
      </t>
    </mdx>
    <mdx n="0" f="v">
      <t c="4" si="29">
        <n x="241"/>
        <n x="54"/>
        <n x="17"/>
        <n x="242" s="1"/>
      </t>
    </mdx>
    <mdx n="0" f="v">
      <t c="5" si="29">
        <n x="241"/>
        <n x="17"/>
        <n x="203"/>
        <n x="28"/>
        <n x="242" s="1"/>
      </t>
    </mdx>
    <mdx n="0" f="v">
      <t c="4" si="33">
        <n x="241"/>
        <n x="182"/>
        <n x="32"/>
        <n x="242" s="1"/>
      </t>
    </mdx>
    <mdx n="0" f="v">
      <t c="4" si="29">
        <n x="241"/>
        <n x="52"/>
        <n x="17"/>
        <n x="242" s="1"/>
      </t>
    </mdx>
    <mdx n="0" f="v">
      <t c="4" si="29">
        <n x="241"/>
        <n x="48"/>
        <n x="17"/>
        <n x="242" s="1"/>
      </t>
    </mdx>
    <mdx n="0" f="v">
      <t c="5" si="33">
        <n x="241"/>
        <n x="30"/>
        <n x="5"/>
        <n x="35"/>
        <n x="242" s="1"/>
      </t>
    </mdx>
    <mdx n="0" f="v">
      <t c="5" si="29">
        <n x="241"/>
        <n x="17"/>
        <n x="11"/>
        <n x="28"/>
        <n x="242" s="1"/>
      </t>
    </mdx>
    <mdx n="0" f="v">
      <t c="4" si="29">
        <n x="241"/>
        <n x="184"/>
        <n x="31"/>
        <n x="242" s="1"/>
      </t>
    </mdx>
    <mdx n="0" f="v">
      <t c="5" si="33">
        <n x="241"/>
        <n x="30"/>
        <n x="9"/>
        <n x="35"/>
        <n x="242" s="1"/>
      </t>
    </mdx>
    <mdx n="0" f="v">
      <t c="5" si="33">
        <n x="241"/>
        <n x="30"/>
        <n x="202"/>
        <n x="34"/>
        <n x="242" s="1"/>
      </t>
    </mdx>
    <mdx n="0" f="v">
      <t c="5" si="33">
        <n x="241"/>
        <n x="30"/>
        <n x="4"/>
        <n x="35"/>
        <n x="242" s="1"/>
      </t>
    </mdx>
    <mdx n="0" f="v">
      <t c="4" si="33">
        <n x="241"/>
        <n x="42"/>
        <n x="32"/>
        <n x="242" s="1"/>
      </t>
    </mdx>
    <mdx n="0" f="v">
      <t c="4" si="29">
        <n x="241"/>
        <n x="182"/>
        <n x="17"/>
        <n x="242" s="1"/>
      </t>
    </mdx>
    <mdx n="0" f="v">
      <t c="4" si="33">
        <n x="241"/>
        <n x="37"/>
        <n x="32"/>
        <n x="242" s="1"/>
      </t>
    </mdx>
    <mdx n="0" f="v">
      <t c="5" si="29">
        <n x="241"/>
        <n x="17"/>
        <n x="4"/>
        <n x="7"/>
        <n x="242" s="1"/>
      </t>
    </mdx>
    <mdx n="0" f="v">
      <t c="5" si="29">
        <n x="241"/>
        <n x="17"/>
        <n x="10"/>
        <n x="23"/>
        <n x="242" s="1"/>
      </t>
    </mdx>
    <mdx n="0" f="v">
      <t c="4" si="29">
        <n x="241"/>
        <n x="54"/>
        <n x="31"/>
        <n x="242" s="1"/>
      </t>
    </mdx>
    <mdx n="0" f="v">
      <t c="4" si="33">
        <n x="241"/>
        <n x="44"/>
        <n x="30"/>
        <n x="242" s="1"/>
      </t>
    </mdx>
    <mdx n="0" f="v">
      <t c="5" si="29">
        <n x="241"/>
        <n x="17"/>
        <n x="1"/>
        <n x="28"/>
        <n x="242" s="1"/>
      </t>
    </mdx>
    <mdx n="0" f="v">
      <t c="5" si="33">
        <n x="241"/>
        <n x="30"/>
        <n x="4"/>
        <n x="34"/>
        <n x="242" s="1"/>
      </t>
    </mdx>
    <mdx n="0" f="v">
      <t c="5" si="29">
        <n x="241"/>
        <n x="17"/>
        <n x="12"/>
        <n x="7"/>
        <n x="242" s="1"/>
      </t>
    </mdx>
    <mdx n="0" f="v">
      <t c="4" si="33">
        <n x="241"/>
        <n x="51"/>
        <n x="32"/>
        <n x="242" s="1"/>
      </t>
    </mdx>
    <mdx n="0" f="v">
      <t c="5" si="29">
        <n x="241"/>
        <n x="17"/>
        <n x="202"/>
        <n x="28"/>
        <n x="242" s="1"/>
      </t>
    </mdx>
    <mdx n="0" f="v">
      <t c="5" si="29">
        <n x="241"/>
        <n x="17"/>
        <n x="13"/>
        <n x="23"/>
        <n x="242" s="1"/>
      </t>
    </mdx>
    <mdx n="0" f="v">
      <t c="5" si="29">
        <n x="241"/>
        <n x="17"/>
        <n x="19"/>
        <n x="28"/>
        <n x="242" s="1"/>
      </t>
    </mdx>
    <mdx n="0" f="v">
      <t c="5" si="33">
        <n x="241"/>
        <n x="30"/>
        <n x="26"/>
        <n x="35"/>
        <n x="242" s="1"/>
      </t>
    </mdx>
    <mdx n="0" f="v">
      <t c="5" si="33">
        <n x="241"/>
        <n x="30"/>
        <n x="8"/>
        <n x="35"/>
        <n x="242" s="1"/>
      </t>
    </mdx>
    <mdx n="0" f="v">
      <t c="5" si="33">
        <n x="241"/>
        <n x="30"/>
        <n x="202"/>
        <n x="43"/>
        <n x="242" s="1"/>
      </t>
    </mdx>
    <mdx n="0" f="v">
      <t c="5" si="29">
        <n x="241"/>
        <n x="17"/>
        <n x="5"/>
        <n x="28"/>
        <n x="242" s="1"/>
      </t>
    </mdx>
    <mdx n="0" f="v">
      <t c="5" si="33">
        <n x="241"/>
        <n x="30"/>
        <n x="12"/>
        <n x="34"/>
        <n x="242" s="1"/>
      </t>
    </mdx>
    <mdx n="0" f="v">
      <t c="5" si="33">
        <n x="241"/>
        <n x="30"/>
        <n x="6"/>
        <n x="35"/>
        <n x="242" s="1"/>
      </t>
    </mdx>
    <mdx n="0" f="v">
      <t c="5" si="29">
        <n x="241"/>
        <n x="17"/>
        <n x="6"/>
        <n x="28"/>
        <n x="242" s="1"/>
      </t>
    </mdx>
    <mdx n="0" f="v">
      <t c="5" si="29">
        <n x="241"/>
        <n x="17"/>
        <n x="2"/>
        <n x="28"/>
        <n x="242" s="1"/>
      </t>
    </mdx>
    <mdx n="0" f="v">
      <t c="4" si="33">
        <n x="241"/>
        <n x="52"/>
        <n x="30"/>
        <n x="242" s="1"/>
      </t>
    </mdx>
    <mdx n="0" f="v">
      <t c="5" si="33">
        <n x="241"/>
        <n x="30"/>
        <n x="25"/>
        <n x="34"/>
        <n x="242" s="1"/>
      </t>
    </mdx>
    <mdx n="0" f="v">
      <t c="5" si="33">
        <n x="241"/>
        <n x="30"/>
        <n x="20"/>
        <n x="34"/>
        <n x="242" s="1"/>
      </t>
    </mdx>
    <mdx n="0" f="v">
      <t c="5" si="29">
        <n x="241"/>
        <n x="17"/>
        <n x="6"/>
        <n x="7"/>
        <n x="242" s="1"/>
      </t>
    </mdx>
    <mdx n="0" f="v">
      <t c="5" si="29">
        <n x="241"/>
        <n x="17"/>
        <n x="15"/>
        <n x="28"/>
        <n x="242" s="1"/>
      </t>
    </mdx>
    <mdx n="0" f="v">
      <t c="5" si="29">
        <n x="241"/>
        <n x="17"/>
        <n x="19"/>
        <n x="7"/>
        <n x="242" s="1"/>
      </t>
    </mdx>
    <mdx n="0" f="v">
      <t c="4" si="33">
        <n x="241"/>
        <n x="46"/>
        <n x="32"/>
        <n x="242" s="1"/>
      </t>
    </mdx>
    <mdx n="0" f="v">
      <t c="5" si="33">
        <n x="241"/>
        <n x="30"/>
        <n x="9"/>
        <n x="43"/>
        <n x="242" s="1"/>
      </t>
    </mdx>
    <mdx n="0" f="v">
      <t c="4" si="29">
        <n x="241"/>
        <n x="39"/>
        <n x="31"/>
        <n x="242" s="1"/>
      </t>
    </mdx>
    <mdx n="0" f="v">
      <t c="5" si="29">
        <n x="241"/>
        <n x="17"/>
        <n x="24"/>
        <n x="23"/>
        <n x="242" s="1"/>
      </t>
    </mdx>
    <mdx n="0" f="v">
      <t c="5" si="33">
        <n x="241"/>
        <n x="30"/>
        <n x="11"/>
        <n x="34"/>
        <n x="242" s="1"/>
      </t>
    </mdx>
    <mdx n="0" f="v">
      <t c="5" si="33">
        <n x="241"/>
        <n x="30"/>
        <n x="16"/>
        <n x="34"/>
        <n x="242" s="1"/>
      </t>
    </mdx>
    <mdx n="0" f="v">
      <t c="5" si="33">
        <n x="241"/>
        <n x="30"/>
        <n x="14"/>
        <n x="35"/>
        <n x="242" s="1"/>
      </t>
    </mdx>
    <mdx n="0" f="v">
      <t c="4" si="33">
        <n x="241"/>
        <n x="175"/>
        <n x="30"/>
        <n x="242" s="1"/>
      </t>
    </mdx>
    <mdx n="0" f="v">
      <t c="4" si="33">
        <n x="241"/>
        <n x="48"/>
        <n x="30"/>
        <n x="242" s="1"/>
      </t>
    </mdx>
    <mdx n="0" f="v">
      <t c="4" si="33">
        <n x="241"/>
        <n x="50"/>
        <n x="30"/>
        <n x="242" s="1"/>
      </t>
    </mdx>
    <mdx n="0" f="v">
      <t c="4" si="33">
        <n x="241"/>
        <n x="43"/>
        <n x="32"/>
        <n x="242" s="1"/>
      </t>
    </mdx>
    <mdx n="0" f="v">
      <t c="5" si="33">
        <n x="241"/>
        <n x="30"/>
        <n x="6"/>
        <n x="43"/>
        <n x="242" s="1"/>
      </t>
    </mdx>
    <mdx n="0" f="v">
      <t c="5" si="33">
        <n x="241"/>
        <n x="30"/>
        <n x="20"/>
        <n x="35"/>
        <n x="242" s="1"/>
      </t>
    </mdx>
    <mdx n="0" f="v">
      <t c="5" si="29">
        <n x="241"/>
        <n x="17"/>
        <n x="18"/>
        <n x="28"/>
        <n x="242" s="1"/>
      </t>
    </mdx>
    <mdx n="0" f="v">
      <t c="4" si="33">
        <n x="241"/>
        <n x="51"/>
        <n x="30"/>
        <n x="242" s="1"/>
      </t>
    </mdx>
    <mdx n="0" f="v">
      <t c="4" si="29">
        <n x="241"/>
        <n x="35"/>
        <n x="31"/>
        <n x="242" s="1"/>
      </t>
    </mdx>
    <mdx n="0" f="v">
      <t c="4" si="29">
        <n x="241"/>
        <n x="201"/>
        <n x="17"/>
        <n x="242" s="1"/>
      </t>
    </mdx>
    <mdx n="0" f="v">
      <t c="4" si="29">
        <n x="241"/>
        <n x="46"/>
        <n x="17"/>
        <n x="242" s="1"/>
      </t>
    </mdx>
    <mdx n="0" f="v">
      <t c="4" si="33">
        <n x="241"/>
        <n x="176"/>
        <n x="30"/>
        <n x="242" s="1"/>
      </t>
    </mdx>
    <mdx n="0" f="v">
      <t c="5" si="29">
        <n x="241"/>
        <n x="17"/>
        <n x="9"/>
        <n x="28"/>
        <n x="242" s="1"/>
      </t>
    </mdx>
    <mdx n="0" f="v">
      <t c="5" si="29">
        <n x="241"/>
        <n x="17"/>
        <n x="25"/>
        <n x="23"/>
        <n x="242" s="1"/>
      </t>
    </mdx>
    <mdx n="0" f="v">
      <t c="5" si="29">
        <n x="241"/>
        <n x="17"/>
        <n x="19"/>
        <n x="23"/>
        <n x="242" s="1"/>
      </t>
    </mdx>
    <mdx n="0" f="v">
      <t c="4" si="29">
        <n x="241"/>
        <n x="34"/>
        <n x="31"/>
        <n x="242" s="1"/>
      </t>
    </mdx>
    <mdx n="0" f="v">
      <t c="5" si="33">
        <n x="241"/>
        <n x="30"/>
        <n x="1"/>
        <n x="43"/>
        <n x="242" s="1"/>
      </t>
    </mdx>
    <mdx n="0" f="v">
      <t c="4" si="29">
        <n x="241"/>
        <n x="37"/>
        <n x="31"/>
        <n x="242" s="1"/>
      </t>
    </mdx>
    <mdx n="0" f="v">
      <t c="5" si="33">
        <n x="241"/>
        <n x="30"/>
        <n x="8"/>
        <n x="34"/>
        <n x="242" s="1"/>
      </t>
    </mdx>
    <mdx n="0" f="v">
      <t c="4" si="33">
        <n x="241"/>
        <n x="182"/>
        <n x="30"/>
        <n x="242" s="1"/>
      </t>
    </mdx>
    <mdx n="0" f="v">
      <t c="4" si="33">
        <n x="241"/>
        <n x="175"/>
        <n x="32"/>
        <n x="242" s="1"/>
      </t>
    </mdx>
    <mdx n="0" f="v">
      <t c="5" si="33">
        <n x="241"/>
        <n x="30"/>
        <n x="19"/>
        <n x="35"/>
        <n x="242" s="1"/>
      </t>
    </mdx>
    <mdx n="0" f="v">
      <t c="5" si="33">
        <n x="241"/>
        <n x="30"/>
        <n x="12"/>
        <n x="43"/>
        <n x="242" s="1"/>
      </t>
    </mdx>
    <mdx n="0" f="v">
      <t c="5" si="29">
        <n x="241"/>
        <n x="17"/>
        <n x="8"/>
        <n x="7"/>
        <n x="242" s="1"/>
      </t>
    </mdx>
    <mdx n="0" f="v">
      <t c="4" si="29">
        <n x="241"/>
        <n x="176"/>
        <n x="17"/>
        <n x="242" s="1"/>
      </t>
    </mdx>
    <mdx n="0" f="v">
      <t c="4" si="29">
        <n x="241"/>
        <n x="51"/>
        <n x="31"/>
        <n x="242" s="1"/>
      </t>
    </mdx>
    <mdx n="0" f="v">
      <t c="5" si="33">
        <n x="241"/>
        <n x="30"/>
        <n x="2"/>
        <n x="34"/>
        <n x="242" s="1"/>
      </t>
    </mdx>
    <mdx n="0" f="v">
      <t c="5" si="29">
        <n x="241"/>
        <n x="17"/>
        <n x="21"/>
        <n x="28"/>
        <n x="242" s="1"/>
      </t>
    </mdx>
    <mdx n="0" f="v">
      <t c="4" si="33">
        <n x="241"/>
        <n x="201"/>
        <n x="32"/>
        <n x="242" s="1"/>
      </t>
    </mdx>
    <mdx n="0" f="v">
      <t c="5" si="29">
        <n x="241"/>
        <n x="17"/>
        <n x="15"/>
        <n x="23"/>
        <n x="242" s="1"/>
      </t>
    </mdx>
    <mdx n="0" f="v">
      <t c="5" si="29">
        <n x="241"/>
        <n x="17"/>
        <n x="27"/>
        <n x="23"/>
        <n x="242" s="1"/>
      </t>
    </mdx>
    <mdx n="0" f="v">
      <t c="5" si="29">
        <n x="241"/>
        <n x="17"/>
        <n x="24"/>
        <n x="7"/>
        <n x="242" s="1"/>
      </t>
    </mdx>
    <mdx n="0" f="v">
      <t c="5" si="33">
        <n x="241"/>
        <n x="30"/>
        <n x="26"/>
        <n x="34"/>
        <n x="242" s="1"/>
      </t>
    </mdx>
    <mdx n="0" f="v">
      <t c="5" si="33">
        <n x="241"/>
        <n x="30"/>
        <n x="10"/>
        <n x="34"/>
        <n x="242" s="1"/>
      </t>
    </mdx>
    <mdx n="0" f="v">
      <t c="5" si="33">
        <n x="241"/>
        <n x="30"/>
        <n x="25"/>
        <n x="35"/>
        <n x="242" s="1"/>
      </t>
    </mdx>
    <mdx n="0" f="v">
      <t c="5" si="33">
        <n x="241"/>
        <n x="30"/>
        <n x="15"/>
        <n x="43"/>
        <n x="242" s="1"/>
      </t>
    </mdx>
    <mdx n="0" f="v">
      <t c="5" si="33">
        <n x="241"/>
        <n x="30"/>
        <n x="11"/>
        <n x="35"/>
        <n x="242" s="1"/>
      </t>
    </mdx>
    <mdx n="0" f="v">
      <t c="5" si="33">
        <n x="241"/>
        <n x="30"/>
        <n x="21"/>
        <n x="35"/>
        <n x="242" s="1"/>
      </t>
    </mdx>
    <mdx n="0" f="v">
      <t c="5" si="29">
        <n x="241"/>
        <n x="17"/>
        <n x="21"/>
        <n x="7"/>
        <n x="242" s="1"/>
      </t>
    </mdx>
    <mdx n="0" f="v">
      <t c="5" si="33">
        <n x="241"/>
        <n x="30"/>
        <n x="16"/>
        <n x="43"/>
        <n x="242" s="1"/>
      </t>
    </mdx>
    <mdx n="0" f="v">
      <t c="5" si="33">
        <n x="241"/>
        <n x="30"/>
        <n x="3"/>
        <n x="34"/>
        <n x="242" s="1"/>
      </t>
    </mdx>
    <mdx n="0" f="v">
      <t c="5" si="29">
        <n x="241"/>
        <n x="17"/>
        <n x="18"/>
        <n x="7"/>
        <n x="242" s="1"/>
      </t>
    </mdx>
    <mdx n="0" f="v">
      <t c="5" si="29">
        <n x="241"/>
        <n x="17"/>
        <n x="15"/>
        <n x="7"/>
        <n x="242" s="1"/>
      </t>
    </mdx>
    <mdx n="0" f="v">
      <t c="5" si="29">
        <n x="241"/>
        <n x="17"/>
        <n x="20"/>
        <n x="28"/>
        <n x="242" s="1"/>
      </t>
    </mdx>
    <mdx n="0" f="v">
      <t c="4" si="29">
        <n x="241"/>
        <n x="180"/>
        <n x="17"/>
        <n x="242" s="1"/>
      </t>
    </mdx>
    <mdx n="0" f="v">
      <t c="4" si="29">
        <n x="241"/>
        <n x="45"/>
        <n x="31"/>
        <n x="242" s="1"/>
      </t>
    </mdx>
    <mdx n="0" f="v">
      <t c="4" si="29">
        <n x="241"/>
        <n x="40"/>
        <n x="17"/>
        <n x="242" s="1"/>
      </t>
    </mdx>
    <mdx n="0" f="v">
      <t c="5" si="29">
        <n x="241"/>
        <n x="17"/>
        <n x="2"/>
        <n x="7"/>
        <n x="242" s="1"/>
      </t>
    </mdx>
    <mdx n="0" f="v">
      <t c="5" si="33">
        <n x="241"/>
        <n x="30"/>
        <n x="6"/>
        <n x="34"/>
        <n x="242" s="1"/>
      </t>
    </mdx>
    <mdx n="0" f="v">
      <t c="5" si="33">
        <n x="241"/>
        <n x="30"/>
        <n x="19"/>
        <n x="34"/>
        <n x="242" s="1"/>
      </t>
    </mdx>
    <mdx n="0" f="v">
      <t c="4" si="33">
        <n x="241"/>
        <n x="39"/>
        <n x="30"/>
        <n x="242" s="1"/>
      </t>
    </mdx>
    <mdx n="0" f="v">
      <t c="5" si="29">
        <n x="241"/>
        <n x="17"/>
        <n x="25"/>
        <n x="7"/>
        <n x="242" s="1"/>
      </t>
    </mdx>
    <mdx n="0" f="v">
      <t c="4" si="29">
        <n x="241"/>
        <n x="50"/>
        <n x="31"/>
        <n x="242" s="1"/>
      </t>
    </mdx>
    <mdx n="0" f="v">
      <t c="4" si="29">
        <n x="241"/>
        <n x="35"/>
        <n x="17"/>
        <n x="242" s="1"/>
      </t>
    </mdx>
    <mdx n="0" f="v">
      <t c="5" si="33">
        <n x="241"/>
        <n x="30"/>
        <n x="18"/>
        <n x="35"/>
        <n x="242" s="1"/>
      </t>
    </mdx>
    <mdx n="0" f="v">
      <t c="4" si="29">
        <n x="241"/>
        <n x="36"/>
        <n x="17"/>
        <n x="242" s="1"/>
      </t>
    </mdx>
    <mdx n="0" f="v">
      <t c="5" si="33">
        <n x="241"/>
        <n x="30"/>
        <n x="21"/>
        <n x="34"/>
        <n x="242" s="1"/>
      </t>
    </mdx>
    <mdx n="0" f="v">
      <t c="5" si="33">
        <n x="241"/>
        <n x="30"/>
        <n x="24"/>
        <n x="34"/>
        <n x="242" s="1"/>
      </t>
    </mdx>
    <mdx n="0" f="v">
      <t c="4" si="33">
        <n x="241"/>
        <n x="54"/>
        <n x="30"/>
        <n x="242" s="1"/>
      </t>
    </mdx>
    <mdx n="0" f="v">
      <t c="4" si="33">
        <n x="241"/>
        <n x="41"/>
        <n x="30"/>
        <n x="242" s="1"/>
      </t>
    </mdx>
    <mdx n="0" f="v">
      <t c="5" si="33">
        <n x="241"/>
        <n x="30"/>
        <n x="22"/>
        <n x="34"/>
        <n x="242" s="1"/>
      </t>
    </mdx>
    <mdx n="0" f="v">
      <t c="4" si="33">
        <n x="241"/>
        <n x="39"/>
        <n x="32"/>
        <n x="242" s="1"/>
      </t>
    </mdx>
    <mdx n="0" f="v">
      <t c="4" si="29">
        <n x="241"/>
        <n x="184"/>
        <n x="17"/>
        <n x="242" s="1"/>
      </t>
    </mdx>
    <mdx n="0" f="v">
      <t c="4" si="33">
        <n x="241"/>
        <n x="36"/>
        <n x="32"/>
        <n x="242" s="1"/>
      </t>
    </mdx>
    <mdx n="0" f="v">
      <t c="4" si="33">
        <n x="241"/>
        <n x="179"/>
        <n x="32"/>
        <n x="242" s="1"/>
      </t>
    </mdx>
    <mdx n="0" f="v">
      <t c="4" si="29">
        <n x="241"/>
        <n x="175"/>
        <n x="17"/>
        <n x="242" s="1"/>
      </t>
    </mdx>
    <mdx n="0" f="v">
      <t c="4" si="33">
        <n x="241"/>
        <n x="34"/>
        <n x="32"/>
        <n x="242" s="1"/>
      </t>
    </mdx>
    <mdx n="0" f="v">
      <t c="5" si="33">
        <n x="241"/>
        <n x="30"/>
        <n x="2"/>
        <n x="35"/>
        <n x="242" s="1"/>
      </t>
    </mdx>
    <mdx n="0" f="v">
      <t c="5" si="29">
        <n x="241"/>
        <n x="17"/>
        <n x="21"/>
        <n x="23"/>
        <n x="242" s="1"/>
      </t>
    </mdx>
    <mdx n="0" f="v">
      <t c="4" si="33">
        <n x="241"/>
        <n x="36"/>
        <n x="30"/>
        <n x="242" s="1"/>
      </t>
    </mdx>
    <mdx n="0" f="v">
      <t c="5" si="33">
        <n x="241"/>
        <n x="30"/>
        <n x="20"/>
        <n x="43"/>
        <n x="242" s="1"/>
      </t>
    </mdx>
    <mdx n="0" f="v">
      <t c="5" si="29">
        <n x="241"/>
        <n x="17"/>
        <n x="26"/>
        <n x="28"/>
        <n x="242" s="1"/>
      </t>
    </mdx>
    <mdx n="0" f="v">
      <t c="4" si="29">
        <n x="241"/>
        <n x="47"/>
        <n x="31"/>
        <n x="242" s="1"/>
      </t>
    </mdx>
    <mdx n="0" f="v">
      <t c="4" si="33">
        <n x="241"/>
        <n x="42"/>
        <n x="30"/>
        <n x="242" s="1"/>
      </t>
    </mdx>
    <mdx n="0" f="v">
      <t c="4" si="29">
        <n x="241"/>
        <n x="179"/>
        <n x="31"/>
        <n x="242" s="1"/>
      </t>
    </mdx>
    <mdx n="0" f="v">
      <t c="4" si="29">
        <n x="241"/>
        <n x="41"/>
        <n x="31"/>
        <n x="242" s="1"/>
      </t>
    </mdx>
    <mdx n="0" f="v">
      <t c="4" si="29">
        <n x="241"/>
        <n x="43"/>
        <n x="31"/>
        <n x="242" s="1"/>
      </t>
    </mdx>
    <mdx n="0" f="v">
      <t c="4" si="29">
        <n x="241"/>
        <n x="42"/>
        <n x="17"/>
        <n x="242" s="1"/>
      </t>
    </mdx>
    <mdx n="0" f="v">
      <t c="4" si="33">
        <n x="241"/>
        <n x="47"/>
        <n x="32"/>
        <n x="242" s="1"/>
      </t>
    </mdx>
    <mdx n="0" f="v">
      <t c="4" si="33">
        <n x="241"/>
        <n x="34"/>
        <n x="30"/>
        <n x="242" s="1"/>
      </t>
    </mdx>
    <mdx n="0" f="v">
      <t c="4" si="33">
        <n x="241"/>
        <n x="41"/>
        <n x="32"/>
        <n x="242" s="1"/>
      </t>
    </mdx>
    <mdx n="0" f="v">
      <t c="5" si="33">
        <n x="241"/>
        <n x="30"/>
        <n x="24"/>
        <n x="43"/>
        <n x="242" s="1"/>
      </t>
    </mdx>
    <mdx n="0" f="v">
      <t c="4" si="33">
        <n x="241"/>
        <n x="49"/>
        <n x="32"/>
        <n x="242" s="1"/>
      </t>
    </mdx>
    <mdx n="0" f="v">
      <t c="4" si="33">
        <n x="241"/>
        <n x="35"/>
        <n x="32"/>
        <n x="242" s="1"/>
      </t>
    </mdx>
    <mdx n="0" f="v">
      <t c="4" si="29">
        <n x="241"/>
        <n x="34"/>
        <n x="17"/>
        <n x="242" s="1"/>
      </t>
    </mdx>
    <mdx n="0" f="v">
      <t c="4" si="33">
        <n x="241"/>
        <n x="49"/>
        <n x="30"/>
        <n x="242" s="1"/>
      </t>
    </mdx>
    <mdx n="0" f="v">
      <t c="5" si="33">
        <n x="241"/>
        <n x="30"/>
        <n x="18"/>
        <n x="34"/>
        <n x="242" s="1"/>
      </t>
    </mdx>
    <mdx n="0" f="v">
      <t c="4" si="33">
        <n x="241"/>
        <n x="50"/>
        <n x="32"/>
        <n x="242" s="1"/>
      </t>
    </mdx>
    <mdx n="0" f="v">
      <t c="4" si="29">
        <n x="241"/>
        <n x="42"/>
        <n x="31"/>
        <n x="242" s="1"/>
      </t>
    </mdx>
    <mdx n="0" f="v">
      <t c="4" si="29">
        <n x="241"/>
        <n x="40"/>
        <n x="31"/>
        <n x="242" s="1"/>
      </t>
    </mdx>
    <mdx n="0" f="v">
      <t c="5" si="33">
        <n x="241"/>
        <n x="30"/>
        <n x="19"/>
        <n x="43"/>
        <n x="242" s="1"/>
      </t>
    </mdx>
    <mdx n="0" f="v">
      <t c="5" si="29">
        <n x="241"/>
        <n x="17"/>
        <n x="1"/>
        <n x="23"/>
        <n x="242" s="1"/>
      </t>
    </mdx>
    <mdx n="0" f="v">
      <t c="4" si="33">
        <n x="241"/>
        <n x="43"/>
        <n x="30"/>
        <n x="242" s="1"/>
      </t>
    </mdx>
    <mdx n="0" f="v">
      <t c="5" si="33">
        <n x="241"/>
        <n x="30"/>
        <n x="11"/>
        <n x="43"/>
        <n x="242" s="1"/>
      </t>
    </mdx>
    <mdx n="0" f="v">
      <t c="4" si="29">
        <n x="241"/>
        <n x="37"/>
        <n x="17"/>
        <n x="242" s="1"/>
      </t>
    </mdx>
    <mdx n="0" f="v">
      <t c="4" si="29">
        <n x="241"/>
        <n x="176"/>
        <n x="31"/>
        <n x="242" s="1"/>
      </t>
    </mdx>
    <mdx n="0" f="v">
      <t c="4" si="33">
        <n x="241"/>
        <n x="45"/>
        <n x="30"/>
        <n x="242" s="1"/>
      </t>
    </mdx>
    <mdx n="0" f="v">
      <t c="4" si="33">
        <n x="241"/>
        <n x="46"/>
        <n x="30"/>
        <n x="242" s="1"/>
      </t>
    </mdx>
    <mdx n="0" f="v">
      <t c="5" si="29">
        <n x="241"/>
        <n x="17"/>
        <n x="11"/>
        <n x="7"/>
        <n x="242" s="1"/>
      </t>
    </mdx>
    <mdx n="0" f="v">
      <t c="4" si="33">
        <n x="241"/>
        <n x="53"/>
        <n x="32"/>
        <n x="242" s="1"/>
      </t>
    </mdx>
    <mdx n="0" f="v">
      <t c="5" si="33">
        <n x="241"/>
        <n x="30"/>
        <n x="25"/>
        <n x="43"/>
        <n x="242" s="1"/>
      </t>
    </mdx>
    <mdx n="0" f="v">
      <t c="4" si="29">
        <n x="241"/>
        <n x="46"/>
        <n x="31"/>
        <n x="242" s="1"/>
      </t>
    </mdx>
    <mdx n="0" f="v">
      <t c="5" si="29">
        <n x="241"/>
        <n x="17"/>
        <n x="14"/>
        <n x="28"/>
        <n x="242" s="1"/>
      </t>
    </mdx>
    <mdx n="0" f="v">
      <t c="5" si="33">
        <n x="241"/>
        <n x="30"/>
        <n x="27"/>
        <n x="43"/>
        <n x="242" s="1"/>
      </t>
    </mdx>
    <mdx n="0" f="v">
      <t c="5" si="29">
        <n x="241"/>
        <n x="17"/>
        <n x="2"/>
        <n x="23"/>
        <n x="242" s="1"/>
      </t>
    </mdx>
    <mdx n="0" f="v">
      <t c="5" si="29">
        <n x="241"/>
        <n x="17"/>
        <n x="20"/>
        <n x="7"/>
        <n x="242" s="1"/>
      </t>
    </mdx>
    <mdx n="0" f="v">
      <t c="4" si="29">
        <n x="241"/>
        <n x="53"/>
        <n x="31"/>
        <n x="242" s="1"/>
      </t>
    </mdx>
    <mdx n="0" f="v">
      <t c="5" si="29">
        <n x="241"/>
        <n x="17"/>
        <n x="12"/>
        <n x="23"/>
        <n x="242" s="1"/>
      </t>
    </mdx>
    <mdx n="0" f="v">
      <t c="4" si="29">
        <n x="241"/>
        <n x="49"/>
        <n x="17"/>
        <n x="242" s="1"/>
      </t>
    </mdx>
    <mdx n="0" f="v">
      <t c="4" si="29">
        <n x="241"/>
        <n x="41"/>
        <n x="17"/>
        <n x="242" s="1"/>
      </t>
    </mdx>
    <mdx n="0" f="v">
      <t c="4" si="29">
        <n x="241"/>
        <n x="182"/>
        <n x="31"/>
        <n x="242" s="1"/>
      </t>
    </mdx>
    <mdx n="0" f="v">
      <t c="5" si="33">
        <n x="241"/>
        <n x="30"/>
        <n x="9"/>
        <n x="34"/>
        <n x="242" s="1"/>
      </t>
    </mdx>
    <mdx n="0" f="v">
      <t c="4" si="29">
        <n x="241"/>
        <n x="44"/>
        <n x="31"/>
        <n x="242" s="1"/>
      </t>
    </mdx>
    <mdx n="0" f="v">
      <t c="4" si="33">
        <n x="241"/>
        <n x="38"/>
        <n x="30"/>
        <n x="242" s="1"/>
      </t>
    </mdx>
    <mdx n="0" f="v">
      <t c="4" si="29">
        <n x="241"/>
        <n x="39"/>
        <n x="17"/>
        <n x="242" s="1"/>
      </t>
    </mdx>
    <mdx n="0" f="v">
      <t c="5" si="33">
        <n x="241"/>
        <n x="30"/>
        <n x="13"/>
        <n x="34"/>
        <n x="242" s="1"/>
      </t>
    </mdx>
    <mdx n="0" f="v">
      <t c="5" si="33">
        <n x="241"/>
        <n x="30"/>
        <n x="15"/>
        <n x="34"/>
        <n x="242" s="1"/>
      </t>
    </mdx>
    <mdx n="0" f="v">
      <t c="4" si="33">
        <n x="241"/>
        <n x="38"/>
        <n x="32"/>
        <n x="242" s="1"/>
      </t>
    </mdx>
    <mdx n="0" f="v">
      <t c="4" si="33">
        <n x="241"/>
        <n x="184"/>
        <n x="30"/>
        <n x="242" s="1"/>
      </t>
    </mdx>
    <mdx n="0" f="v">
      <t c="4" si="33">
        <n x="241"/>
        <n x="44"/>
        <n x="32"/>
        <n x="242" s="1"/>
      </t>
    </mdx>
    <mdx n="0" f="v">
      <t c="4" si="33">
        <n x="241"/>
        <n x="180"/>
        <n x="30"/>
        <n x="242" s="1"/>
      </t>
    </mdx>
    <mdx n="0" f="v">
      <t c="4" si="33">
        <n x="241"/>
        <n x="184"/>
        <n x="32"/>
        <n x="242" s="1"/>
      </t>
    </mdx>
    <mdx n="0" f="v">
      <t c="4" si="29">
        <n x="241"/>
        <n x="175"/>
        <n x="31"/>
        <n x="242" s="1"/>
      </t>
    </mdx>
    <mdx n="0" f="v">
      <t c="5" si="29">
        <n x="241"/>
        <n x="17"/>
        <n x="24"/>
        <n x="28"/>
        <n x="242" s="1"/>
      </t>
    </mdx>
    <mdx n="0" f="v">
      <t c="5" si="29">
        <n x="241"/>
        <n x="17"/>
        <n x="27"/>
        <n x="28"/>
        <n x="242" s="1"/>
      </t>
    </mdx>
    <mdx n="0" f="v">
      <t c="4" si="33">
        <n x="241"/>
        <n x="40"/>
        <n x="32"/>
        <n x="242" s="1"/>
      </t>
    </mdx>
    <mdx n="0" f="v">
      <t c="4" si="29">
        <n x="241"/>
        <n x="49"/>
        <n x="31"/>
        <n x="242" s="1"/>
      </t>
    </mdx>
    <mdx n="0" f="v">
      <t c="5" si="29">
        <n x="241"/>
        <n x="17"/>
        <n x="16"/>
        <n x="28"/>
        <n x="242" s="1"/>
      </t>
    </mdx>
    <mdx n="0" f="v">
      <t c="4" si="29">
        <n x="240"/>
        <n x="52"/>
        <n x="31"/>
        <n x="242" s="1"/>
      </t>
    </mdx>
    <mdx n="0" f="v">
      <t c="4" si="29">
        <n x="240"/>
        <n x="17"/>
        <n x="189"/>
        <n x="242" s="1"/>
      </t>
    </mdx>
    <mdx n="0" f="v">
      <t c="4" si="29">
        <n x="240"/>
        <n x="43"/>
        <n x="31"/>
        <n x="242" s="1"/>
      </t>
    </mdx>
    <mdx n="0" f="v">
      <t c="4" si="29">
        <n x="240"/>
        <n x="42"/>
        <n x="31"/>
        <n x="242" s="1"/>
      </t>
    </mdx>
    <mdx n="0" f="v">
      <t c="4" si="29">
        <n x="240"/>
        <n x="38"/>
        <n x="31"/>
        <n x="242" s="1"/>
      </t>
    </mdx>
    <mdx n="0" f="v">
      <t c="4" si="29">
        <n x="240"/>
        <n x="45"/>
        <n x="31"/>
        <n x="242" s="1"/>
      </t>
    </mdx>
    <mdx n="0" f="v">
      <t c="4" si="29">
        <n x="240"/>
        <n x="54"/>
        <n x="31"/>
        <n x="242" s="1"/>
      </t>
    </mdx>
    <mdx n="0" f="v">
      <t c="4" si="29">
        <n x="240"/>
        <n x="53"/>
        <n x="31"/>
        <n x="242" s="1"/>
      </t>
    </mdx>
    <mdx n="0" f="v">
      <t c="4" si="29">
        <n x="240"/>
        <n x="40"/>
        <n x="31"/>
        <n x="242" s="1"/>
      </t>
    </mdx>
    <mdx n="0" f="v">
      <t c="4" si="29">
        <n x="240"/>
        <n x="46"/>
        <n x="31"/>
        <n x="242" s="1"/>
      </t>
    </mdx>
    <mdx n="0" f="v">
      <t c="4" si="29">
        <n x="240"/>
        <n x="39"/>
        <n x="31"/>
        <n x="242" s="1"/>
      </t>
    </mdx>
    <mdx n="0" f="v">
      <t c="4" si="29">
        <n x="240"/>
        <n x="35"/>
        <n x="31"/>
        <n x="242" s="1"/>
      </t>
    </mdx>
    <mdx n="0" f="v">
      <t c="4" si="29">
        <n x="240"/>
        <n x="34"/>
        <n x="31"/>
        <n x="242" s="1"/>
      </t>
    </mdx>
    <mdx n="0" f="v">
      <t c="4" si="29">
        <n x="240"/>
        <n x="184"/>
        <n x="31"/>
        <n x="242" s="1"/>
      </t>
    </mdx>
    <mdx n="0" f="v">
      <t c="4" si="29">
        <n x="240"/>
        <n x="44"/>
        <n x="31"/>
        <n x="242" s="1"/>
      </t>
    </mdx>
    <mdx n="0" f="v">
      <t c="4" si="29">
        <n x="240"/>
        <n x="37"/>
        <n x="31"/>
        <n x="242" s="1"/>
      </t>
    </mdx>
    <mdx n="0" f="v">
      <t c="4" si="29">
        <n x="240"/>
        <n x="48"/>
        <n x="31"/>
        <n x="242" s="1"/>
      </t>
    </mdx>
    <mdx n="0" f="v">
      <t c="4" si="29">
        <n x="240"/>
        <n x="176"/>
        <n x="31"/>
        <n x="242" s="1"/>
      </t>
    </mdx>
    <mdx n="0" f="v">
      <t c="4" si="29">
        <n x="240"/>
        <n x="51"/>
        <n x="31"/>
        <n x="242" s="1"/>
      </t>
    </mdx>
    <mdx n="0" f="v">
      <t c="4" si="29">
        <n x="240"/>
        <n x="50"/>
        <n x="31"/>
        <n x="242" s="1"/>
      </t>
    </mdx>
    <mdx n="0" f="v">
      <t c="4" si="29">
        <n x="240"/>
        <n x="47"/>
        <n x="31"/>
        <n x="242" s="1"/>
      </t>
    </mdx>
    <mdx n="0" f="v">
      <t c="4" si="29">
        <n x="240"/>
        <n x="180"/>
        <n x="31"/>
        <n x="242" s="1"/>
      </t>
    </mdx>
    <mdx n="0" f="v">
      <t c="4" si="29">
        <n x="240"/>
        <n x="182"/>
        <n x="31"/>
        <n x="242" s="1"/>
      </t>
    </mdx>
    <mdx n="0" f="v">
      <t c="4" si="29">
        <n x="240"/>
        <n x="175"/>
        <n x="31"/>
        <n x="242" s="1"/>
      </t>
    </mdx>
    <mdx n="0" f="v">
      <t c="4" si="29">
        <n x="240"/>
        <n x="201"/>
        <n x="31"/>
        <n x="242" s="1"/>
      </t>
    </mdx>
    <mdx n="0" f="v">
      <t c="4" si="29">
        <n x="240"/>
        <n x="41"/>
        <n x="31"/>
        <n x="242" s="1"/>
      </t>
    </mdx>
    <mdx n="0" f="v">
      <t c="4" si="29">
        <n x="240"/>
        <n x="179"/>
        <n x="31"/>
        <n x="242" s="1"/>
      </t>
    </mdx>
    <mdx n="0" f="v">
      <t c="4" si="29">
        <n x="240"/>
        <n x="36"/>
        <n x="31"/>
        <n x="242" s="1"/>
      </t>
    </mdx>
    <mdx n="0" f="v">
      <t c="4" si="29">
        <n x="240"/>
        <n x="49"/>
        <n x="31"/>
        <n x="242" s="1"/>
      </t>
    </mdx>
    <mdx n="0" f="v">
      <t c="5" si="33">
        <n x="240"/>
        <n x="30"/>
        <n x="25"/>
        <n x="34"/>
        <n x="242" s="1"/>
      </t>
    </mdx>
    <mdx n="0" f="v">
      <t c="4" si="33">
        <n x="240"/>
        <n x="41"/>
        <n x="32"/>
        <n x="242" s="1"/>
      </t>
    </mdx>
    <mdx n="0" f="v">
      <t c="5" si="33">
        <n x="240"/>
        <n x="30"/>
        <n x="20"/>
        <n x="43"/>
        <n x="242" s="1"/>
      </t>
    </mdx>
    <mdx n="0" f="v">
      <t c="4" si="33">
        <n x="240"/>
        <n x="32"/>
        <n x="182"/>
        <n x="242" s="1"/>
      </t>
    </mdx>
    <mdx n="0" f="v">
      <t c="4" si="33">
        <n x="240"/>
        <n x="30"/>
        <n x="188"/>
        <n x="242" s="1"/>
      </t>
    </mdx>
    <mdx n="0" f="v">
      <t c="5" si="29">
        <n x="240"/>
        <n x="17"/>
        <n x="27"/>
        <n x="28"/>
        <n x="242" s="1"/>
      </t>
    </mdx>
    <mdx n="0" f="v">
      <t c="4" si="33">
        <n x="241"/>
        <n x="30"/>
        <n x="130"/>
        <n x="242" s="1"/>
      </t>
    </mdx>
    <mdx n="0" f="v">
      <t c="4" si="29">
        <n x="240"/>
        <n x="54"/>
        <n x="17"/>
        <n x="242" s="1"/>
      </t>
    </mdx>
    <mdx n="0" f="v">
      <t c="4" si="33">
        <n x="240"/>
        <n x="32"/>
        <n x="36"/>
        <n x="242" s="1"/>
      </t>
    </mdx>
    <mdx n="0" f="v">
      <t c="5" si="29">
        <n x="240"/>
        <n x="17"/>
        <n x="203"/>
        <n x="28"/>
        <n x="242" s="1"/>
      </t>
    </mdx>
    <mdx n="0" f="v">
      <t c="5" si="29">
        <n x="240"/>
        <n x="17"/>
        <n x="24"/>
        <n x="28"/>
        <n x="242" s="1"/>
      </t>
    </mdx>
    <mdx n="0" f="v">
      <t c="4" si="29">
        <n x="240"/>
        <n x="31"/>
        <n x="177"/>
        <n x="242" s="1"/>
      </t>
    </mdx>
    <mdx n="0" f="v">
      <t c="5" si="29">
        <n x="240"/>
        <n x="17"/>
        <n x="19"/>
        <n x="28"/>
        <n x="242" s="1"/>
      </t>
    </mdx>
    <mdx n="0" f="v">
      <t c="4" si="33">
        <n x="241"/>
        <n x="32"/>
        <n x="36"/>
        <n x="242" s="1"/>
      </t>
    </mdx>
    <mdx n="0" f="v">
      <t c="4" si="33">
        <n x="240"/>
        <n x="30"/>
        <n x="176"/>
        <n x="242" s="1"/>
      </t>
    </mdx>
    <mdx n="0" f="v">
      <t c="4" si="33">
        <n x="241"/>
        <n x="30"/>
        <n x="52"/>
        <n x="242" s="1"/>
      </t>
    </mdx>
    <mdx n="0" f="v">
      <t c="4" si="29">
        <n x="240"/>
        <n x="44"/>
        <n x="17"/>
        <n x="242" s="1"/>
      </t>
    </mdx>
    <mdx n="0" f="v">
      <t c="5" si="33">
        <n x="240"/>
        <n x="30"/>
        <n x="21"/>
        <n x="35"/>
        <n x="242" s="1"/>
      </t>
    </mdx>
    <mdx n="0" f="v">
      <t c="4" si="33">
        <n x="241"/>
        <n x="30"/>
        <n x="177"/>
        <n x="242" s="1"/>
      </t>
    </mdx>
    <mdx n="0" f="v">
      <t c="4" si="29">
        <n x="240"/>
        <n x="17"/>
        <n x="141"/>
        <n x="242" s="1"/>
      </t>
    </mdx>
    <mdx n="0" f="v">
      <t c="4" si="29">
        <n x="241"/>
        <n x="17"/>
        <n x="94"/>
        <n x="242" s="1"/>
      </t>
    </mdx>
    <mdx n="0" f="v">
      <t c="4" si="29">
        <n x="241"/>
        <n x="17"/>
        <n x="147"/>
        <n x="242" s="1"/>
      </t>
    </mdx>
    <mdx n="0" f="v">
      <t c="4" si="33">
        <n x="241"/>
        <n x="30"/>
        <n x="176"/>
        <n x="242" s="1"/>
      </t>
    </mdx>
    <mdx n="0" f="v">
      <t c="4" si="33">
        <n x="240"/>
        <n x="53"/>
        <n x="32"/>
        <n x="242" s="1"/>
      </t>
    </mdx>
    <mdx n="0" f="v">
      <t c="4" si="33">
        <n x="240"/>
        <n x="32"/>
        <n x="95"/>
        <n x="242" s="1"/>
      </t>
    </mdx>
    <mdx n="0" f="v">
      <t c="5" si="29">
        <n x="240"/>
        <n x="17"/>
        <n x="26"/>
        <n x="7"/>
        <n x="242" s="1"/>
      </t>
    </mdx>
    <mdx n="0" f="v">
      <t c="4" si="29">
        <n x="240"/>
        <n x="31"/>
        <n x="94"/>
        <n x="242" s="1"/>
      </t>
    </mdx>
    <mdx n="0" f="v">
      <t c="4" si="29">
        <n x="240"/>
        <n x="31"/>
        <n x="134"/>
        <n x="242" s="1"/>
      </t>
    </mdx>
    <mdx n="0" f="v">
      <t c="5" si="33">
        <n x="240"/>
        <n x="30"/>
        <n x="26"/>
        <n x="43"/>
        <n x="242" s="1"/>
      </t>
    </mdx>
    <mdx n="0" f="v">
      <t c="4" si="29">
        <n x="241"/>
        <n x="31"/>
        <n x="191"/>
        <n x="242" s="1"/>
      </t>
    </mdx>
    <mdx n="0" f="v">
      <t c="4" si="29">
        <n x="240"/>
        <n x="42"/>
        <n x="17"/>
        <n x="242" s="1"/>
      </t>
    </mdx>
    <mdx n="0" f="v">
      <t c="4" si="29">
        <n x="240"/>
        <n x="17"/>
        <n x="95"/>
        <n x="242" s="1"/>
      </t>
    </mdx>
    <mdx n="0" f="v">
      <t c="4" si="33">
        <n x="241"/>
        <n x="30"/>
        <n x="118"/>
        <n x="242" s="1"/>
      </t>
    </mdx>
    <mdx n="0" f="v">
      <t c="4" si="29">
        <n x="240"/>
        <n x="31"/>
        <n x="44"/>
        <n x="242" s="1"/>
      </t>
    </mdx>
    <mdx n="0" f="v">
      <t c="4" si="33">
        <n x="240"/>
        <n x="30"/>
        <n x="98"/>
        <n x="242" s="1"/>
      </t>
    </mdx>
    <mdx n="0" f="v">
      <t c="4" si="33">
        <n x="240"/>
        <n x="30"/>
        <n x="118"/>
        <n x="242" s="1"/>
      </t>
    </mdx>
    <mdx n="0" f="v">
      <t c="4" si="33">
        <n x="240"/>
        <n x="40"/>
        <n x="30"/>
        <n x="242" s="1"/>
      </t>
    </mdx>
    <mdx n="0" f="v">
      <t c="5" si="29">
        <n x="240"/>
        <n x="17"/>
        <n x="203"/>
        <n x="7"/>
        <n x="242" s="1"/>
      </t>
    </mdx>
    <mdx n="0" f="v">
      <t c="4" si="29">
        <n x="240"/>
        <n x="31"/>
        <n x="176"/>
        <n x="242" s="1"/>
      </t>
    </mdx>
    <mdx n="0" f="v">
      <t c="5" si="33">
        <n x="240"/>
        <n x="30"/>
        <n x="24"/>
        <n x="34"/>
        <n x="242" s="1"/>
      </t>
    </mdx>
    <mdx n="0" f="v">
      <t c="4" si="33">
        <n x="241"/>
        <n x="32"/>
        <n x="182"/>
        <n x="242" s="1"/>
      </t>
    </mdx>
    <mdx n="0" f="v">
      <t c="5" si="29">
        <n x="240"/>
        <n x="17"/>
        <n x="3"/>
        <n x="7"/>
        <n x="242" s="1"/>
      </t>
    </mdx>
    <mdx n="0" f="v">
      <t c="4" si="33">
        <n x="240"/>
        <n x="30"/>
        <n x="180"/>
        <n x="242" s="1"/>
      </t>
    </mdx>
    <mdx n="0" f="v">
      <t c="4" si="29">
        <n x="241"/>
        <n x="17"/>
        <n x="97"/>
        <n x="242" s="1"/>
      </t>
    </mdx>
    <mdx n="0" f="v">
      <t c="4" si="33">
        <n x="240"/>
        <n x="37"/>
        <n x="30"/>
        <n x="242" s="1"/>
      </t>
    </mdx>
    <mdx n="0" f="v">
      <t c="5" si="33">
        <n x="240"/>
        <n x="30"/>
        <n x="16"/>
        <n x="35"/>
        <n x="242" s="1"/>
      </t>
    </mdx>
    <mdx n="0" f="v">
      <t c="4" si="33">
        <n x="241"/>
        <n x="32"/>
        <n x="149"/>
        <n x="242" s="1"/>
      </t>
    </mdx>
    <mdx n="0" f="v">
      <t c="4" si="29">
        <n x="240"/>
        <n x="40"/>
        <n x="17"/>
        <n x="242" s="1"/>
      </t>
    </mdx>
    <mdx n="0" f="v">
      <t c="4" si="29">
        <n x="241"/>
        <n x="17"/>
        <n x="138"/>
        <n x="242" s="1"/>
      </t>
    </mdx>
    <mdx n="0" f="v">
      <t c="4" si="29">
        <n x="240"/>
        <n x="31"/>
        <n x="180"/>
        <n x="242" s="1"/>
      </t>
    </mdx>
    <mdx n="0" f="v">
      <t c="4" si="33">
        <n x="241"/>
        <n x="32"/>
        <n x="179"/>
        <n x="242" s="1"/>
      </t>
    </mdx>
    <mdx n="0" f="v">
      <t c="4" si="33">
        <n x="240"/>
        <n x="30"/>
        <n x="192"/>
        <n x="242" s="1"/>
      </t>
    </mdx>
    <mdx n="0" f="v">
      <t c="5" si="29">
        <n x="240"/>
        <n x="17"/>
        <n x="12"/>
        <n x="7"/>
        <n x="242" s="1"/>
      </t>
    </mdx>
    <mdx n="0" f="v">
      <t c="4" si="33">
        <n x="240"/>
        <n x="30"/>
        <n x="168"/>
        <n x="242" s="1"/>
      </t>
    </mdx>
    <mdx n="0" f="v">
      <t c="4" si="33">
        <n x="240"/>
        <n x="46"/>
        <n x="30"/>
        <n x="242" s="1"/>
      </t>
    </mdx>
    <mdx n="0" f="v">
      <t c="5" si="29">
        <n x="240"/>
        <n x="17"/>
        <n x="26"/>
        <n x="23"/>
        <n x="242" s="1"/>
      </t>
    </mdx>
    <mdx n="0" f="v">
      <t c="4" si="33">
        <n x="240"/>
        <n x="176"/>
        <n x="32"/>
        <n x="242" s="1"/>
      </t>
    </mdx>
    <mdx n="0" f="v">
      <t c="4" si="29">
        <n x="241"/>
        <n x="31"/>
        <n x="118"/>
        <n x="242" s="1"/>
      </t>
    </mdx>
    <mdx n="0" f="v">
      <t c="5" si="29">
        <n x="240"/>
        <n x="17"/>
        <n x="21"/>
        <n x="23"/>
        <n x="242" s="1"/>
      </t>
    </mdx>
    <mdx n="0" f="v">
      <t c="4" si="29">
        <n x="240"/>
        <n x="17"/>
        <n x="188"/>
        <n x="242" s="1"/>
      </t>
    </mdx>
    <mdx n="0" f="v">
      <t c="4" si="33">
        <n x="240"/>
        <n x="30"/>
        <n x="184"/>
        <n x="242" s="1"/>
      </t>
    </mdx>
    <mdx n="0" f="v">
      <t c="4" si="33">
        <n x="240"/>
        <n x="30"/>
        <n x="114"/>
        <n x="242" s="1"/>
      </t>
    </mdx>
    <mdx n="0" f="v">
      <t c="5" si="33">
        <n x="240"/>
        <n x="30"/>
        <n x="1"/>
        <n x="43"/>
        <n x="242" s="1"/>
      </t>
    </mdx>
    <mdx n="0" f="v">
      <t c="4" si="33">
        <n x="241"/>
        <n x="32"/>
        <n x="169"/>
        <n x="242" s="1"/>
      </t>
    </mdx>
    <mdx n="0" f="v">
      <t c="4" si="29">
        <n x="240"/>
        <n x="17"/>
        <n x="191"/>
        <n x="242" s="1"/>
      </t>
    </mdx>
    <mdx n="0" f="v">
      <t c="4" si="33">
        <n x="240"/>
        <n x="32"/>
        <n x="189"/>
        <n x="242" s="1"/>
      </t>
    </mdx>
    <mdx n="0" f="v">
      <t c="4" si="29">
        <n x="241"/>
        <n x="17"/>
        <n x="196"/>
        <n x="242" s="1"/>
      </t>
    </mdx>
    <mdx n="0" f="v">
      <t c="4" si="33">
        <n x="240"/>
        <n x="48"/>
        <n x="32"/>
        <n x="242" s="1"/>
      </t>
    </mdx>
    <mdx n="0" f="v">
      <t c="4" si="33">
        <n x="240"/>
        <n x="32"/>
        <n x="117"/>
        <n x="242" s="1"/>
      </t>
    </mdx>
    <mdx n="0" f="v">
      <t c="4" si="29">
        <n x="240"/>
        <n x="17"/>
        <n x="87"/>
        <n x="242" s="1"/>
      </t>
    </mdx>
    <mdx n="0" f="v">
      <t c="4" si="33">
        <n x="240"/>
        <n x="32"/>
        <n x="186"/>
        <n x="242" s="1"/>
      </t>
    </mdx>
    <mdx n="0" f="v">
      <t c="5" si="29">
        <n x="240"/>
        <n x="17"/>
        <n x="3"/>
        <n x="23"/>
        <n x="242" s="1"/>
      </t>
    </mdx>
    <mdx n="0" f="v">
      <t c="4" si="29">
        <n x="241"/>
        <n x="31"/>
        <n x="46"/>
        <n x="242" s="1"/>
      </t>
    </mdx>
    <mdx n="0" f="v">
      <t c="4" si="33">
        <n x="240"/>
        <n x="44"/>
        <n x="32"/>
        <n x="242" s="1"/>
      </t>
    </mdx>
    <mdx n="0" f="v">
      <t c="4" si="33">
        <n x="240"/>
        <n x="32"/>
        <n x="159"/>
        <n x="242" s="1"/>
      </t>
    </mdx>
    <mdx n="0" f="v">
      <t c="5" si="33">
        <n x="240"/>
        <n x="30"/>
        <n x="2"/>
        <n x="34"/>
        <n x="242" s="1"/>
      </t>
    </mdx>
    <mdx n="0" f="v">
      <t c="4" si="29">
        <n x="240"/>
        <n x="31"/>
        <n x="161"/>
        <n x="242" s="1"/>
      </t>
    </mdx>
    <mdx n="0" f="v">
      <t c="4" si="33">
        <n x="241"/>
        <n x="32"/>
        <n x="177"/>
        <n x="242" s="1"/>
      </t>
    </mdx>
    <mdx n="0" f="v">
      <t c="4" si="29">
        <n x="241"/>
        <n x="17"/>
        <n x="37"/>
        <n x="242" s="1"/>
      </t>
    </mdx>
    <mdx n="0" f="v">
      <t c="5" si="33">
        <n x="240"/>
        <n x="30"/>
        <n x="24"/>
        <n x="43"/>
        <n x="242" s="1"/>
      </t>
    </mdx>
    <mdx n="0" f="v">
      <t c="4" si="33">
        <n x="241"/>
        <n x="30"/>
        <n x="93"/>
        <n x="242" s="1"/>
      </t>
    </mdx>
    <mdx n="0" f="v">
      <t c="4" si="33">
        <n x="241"/>
        <n x="32"/>
        <n x="191"/>
        <n x="242" s="1"/>
      </t>
    </mdx>
    <mdx n="0" f="v">
      <t c="4" si="29">
        <n x="240"/>
        <n x="17"/>
        <n x="37"/>
        <n x="242" s="1"/>
      </t>
    </mdx>
    <mdx n="0" f="v">
      <t c="5" si="29">
        <n x="240"/>
        <n x="17"/>
        <n x="4"/>
        <n x="28"/>
        <n x="242" s="1"/>
      </t>
    </mdx>
    <mdx n="0" f="v">
      <t c="4" si="33">
        <n x="240"/>
        <n x="32"/>
        <n x="131"/>
        <n x="242" s="1"/>
      </t>
    </mdx>
    <mdx n="0" f="v">
      <t c="4" si="33">
        <n x="241"/>
        <n x="32"/>
        <n x="172"/>
        <n x="242" s="1"/>
      </t>
    </mdx>
    <mdx n="0" f="v">
      <t c="4" si="29">
        <n x="240"/>
        <n x="17"/>
        <n x="105"/>
        <n x="242" s="1"/>
      </t>
    </mdx>
    <mdx n="0" f="v">
      <t c="4" si="29">
        <n x="240"/>
        <n x="17"/>
        <n x="130"/>
        <n x="242" s="1"/>
      </t>
    </mdx>
    <mdx n="0" f="v">
      <t c="4" si="29">
        <n x="240"/>
        <n x="17"/>
        <n x="111"/>
        <n x="242" s="1"/>
      </t>
    </mdx>
    <mdx n="0" f="v">
      <t c="4" si="33">
        <n x="240"/>
        <n x="32"/>
        <n x="164"/>
        <n x="242" s="1"/>
      </t>
    </mdx>
    <mdx n="0" f="v">
      <t c="4" si="33">
        <n x="241"/>
        <n x="32"/>
        <n x="146"/>
        <n x="242" s="1"/>
      </t>
    </mdx>
    <mdx n="0" f="v">
      <t c="4" si="29">
        <n x="241"/>
        <n x="17"/>
        <n x="142"/>
        <n x="242" s="1"/>
      </t>
    </mdx>
    <mdx n="0" f="v">
      <t c="4" si="33">
        <n x="241"/>
        <n x="32"/>
        <n x="52"/>
        <n x="242" s="1"/>
      </t>
    </mdx>
    <mdx n="0" f="v">
      <t c="4" si="33">
        <n x="240"/>
        <n x="30"/>
        <n x="122"/>
        <n x="242" s="1"/>
      </t>
    </mdx>
    <mdx n="0" f="v">
      <t c="4" si="29">
        <n x="241"/>
        <n x="17"/>
        <n x="179"/>
        <n x="242" s="1"/>
      </t>
    </mdx>
    <mdx n="0" f="v">
      <t c="4" si="33">
        <n x="240"/>
        <n x="30"/>
        <n x="97"/>
        <n x="242" s="1"/>
      </t>
    </mdx>
    <mdx n="0" f="v">
      <t c="4" si="29">
        <n x="240"/>
        <n x="31"/>
        <n x="140"/>
        <n x="242" s="1"/>
      </t>
    </mdx>
    <mdx n="0" f="v">
      <t c="5" si="29">
        <n x="240"/>
        <n x="17"/>
        <n x="20"/>
        <n x="7"/>
        <n x="242" s="1"/>
      </t>
    </mdx>
    <mdx n="0" f="v">
      <t c="4" si="33">
        <n x="241"/>
        <n x="30"/>
        <n x="192"/>
        <n x="242" s="1"/>
      </t>
    </mdx>
    <mdx n="0" f="v">
      <t c="4" si="33">
        <n x="240"/>
        <n x="182"/>
        <n x="30"/>
        <n x="242" s="1"/>
      </t>
    </mdx>
    <mdx n="0" f="v">
      <t c="4" si="33">
        <n x="241"/>
        <n x="32"/>
        <n x="140"/>
        <n x="242" s="1"/>
      </t>
    </mdx>
    <mdx n="0" f="v">
      <t c="4" si="33">
        <n x="240"/>
        <n x="30"/>
        <n x="191"/>
        <n x="242" s="1"/>
      </t>
    </mdx>
    <mdx n="0" f="v">
      <t c="4" si="33">
        <n x="240"/>
        <n x="54"/>
        <n x="30"/>
        <n x="242" s="1"/>
      </t>
    </mdx>
    <mdx n="0" f="v">
      <t c="4" si="29">
        <n x="241"/>
        <n x="17"/>
        <n x="127"/>
        <n x="242" s="1"/>
      </t>
    </mdx>
    <mdx n="0" f="v">
      <t c="5" si="29">
        <n x="240"/>
        <n x="17"/>
        <n x="4"/>
        <n x="7"/>
        <n x="242" s="1"/>
      </t>
    </mdx>
    <mdx n="0" f="v">
      <t c="4" si="33">
        <n x="241"/>
        <n x="32"/>
        <n x="152"/>
        <n x="242" s="1"/>
      </t>
    </mdx>
    <mdx n="0" f="v">
      <t c="4" si="33">
        <n x="241"/>
        <n x="30"/>
        <n x="114"/>
        <n x="242" s="1"/>
      </t>
    </mdx>
    <mdx n="0" f="v">
      <t c="4" si="33">
        <n x="240"/>
        <n x="175"/>
        <n x="32"/>
        <n x="242" s="1"/>
      </t>
    </mdx>
    <mdx n="0" f="v">
      <t c="4" si="33">
        <n x="240"/>
        <n x="42"/>
        <n x="30"/>
        <n x="242" s="1"/>
      </t>
    </mdx>
    <mdx n="0" f="v">
      <t c="5" si="33">
        <n x="240"/>
        <n x="30"/>
        <n x="4"/>
        <n x="34"/>
        <n x="242" s="1"/>
      </t>
    </mdx>
    <mdx n="0" f="v">
      <t c="4" si="33">
        <n x="240"/>
        <n x="184"/>
        <n x="32"/>
        <n x="242" s="1"/>
      </t>
    </mdx>
    <mdx n="0" f="v">
      <t c="5" si="29">
        <n x="240"/>
        <n x="17"/>
        <n x="18"/>
        <n x="7"/>
        <n x="242" s="1"/>
      </t>
    </mdx>
    <mdx n="0" f="v">
      <t c="5" si="29">
        <n x="240"/>
        <n x="17"/>
        <n x="13"/>
        <n x="28"/>
        <n x="242" s="1"/>
      </t>
    </mdx>
    <mdx n="0" f="v">
      <t c="5" si="33">
        <n x="240"/>
        <n x="30"/>
        <n x="26"/>
        <n x="34"/>
        <n x="242" s="1"/>
      </t>
    </mdx>
    <mdx n="0" f="v">
      <t c="4" si="33">
        <n x="240"/>
        <n x="30"/>
        <n x="52"/>
        <n x="242" s="1"/>
      </t>
    </mdx>
    <mdx n="0" f="v">
      <t c="4" si="33">
        <n x="240"/>
        <n x="201"/>
        <n x="32"/>
        <n x="242" s="1"/>
      </t>
    </mdx>
    <mdx n="0" f="v">
      <t c="5" si="33">
        <n x="240"/>
        <n x="30"/>
        <n x="24"/>
        <n x="35"/>
        <n x="242" s="1"/>
      </t>
    </mdx>
    <mdx n="0" f="v">
      <t c="4" si="29">
        <n x="240"/>
        <n x="50"/>
        <n x="17"/>
        <n x="242" s="1"/>
      </t>
    </mdx>
    <mdx n="0" f="v">
      <t c="4" si="33">
        <n x="241"/>
        <n x="32"/>
        <n x="123"/>
        <n x="242" s="1"/>
      </t>
    </mdx>
    <mdx n="0" f="v">
      <t c="4" si="33">
        <n x="240"/>
        <n x="30"/>
        <n x="141"/>
        <n x="242" s="1"/>
      </t>
    </mdx>
    <mdx n="0" f="v">
      <t c="4" si="33">
        <n x="240"/>
        <n x="53"/>
        <n x="30"/>
        <n x="242" s="1"/>
      </t>
    </mdx>
    <mdx n="0" f="v">
      <t c="4" si="33">
        <n x="241"/>
        <n x="32"/>
        <n x="155"/>
        <n x="242" s="1"/>
      </t>
    </mdx>
    <mdx n="0" f="v">
      <t c="4" si="29">
        <n x="240"/>
        <n x="41"/>
        <n x="17"/>
        <n x="242" s="1"/>
      </t>
    </mdx>
    <mdx n="0" f="v">
      <t c="4" si="33">
        <n x="241"/>
        <n x="30"/>
        <n x="179"/>
        <n x="242" s="1"/>
      </t>
    </mdx>
    <mdx n="0" f="v">
      <t c="4" si="33">
        <n x="241"/>
        <n x="32"/>
        <n x="46"/>
        <n x="242" s="1"/>
      </t>
    </mdx>
    <mdx n="0" f="v">
      <t c="5" si="29">
        <n x="240"/>
        <n x="17"/>
        <n x="10"/>
        <n x="28"/>
        <n x="242" s="1"/>
      </t>
    </mdx>
    <mdx n="0" f="v">
      <t c="4" si="33">
        <n x="240"/>
        <n x="51"/>
        <n x="32"/>
        <n x="242" s="1"/>
      </t>
    </mdx>
    <mdx n="0" f="v">
      <t c="4" si="29">
        <n x="241"/>
        <n x="31"/>
        <n x="190"/>
        <n x="242" s="1"/>
      </t>
    </mdx>
    <mdx n="0" f="v">
      <t c="4" si="33">
        <n x="240"/>
        <n x="201"/>
        <n x="30"/>
        <n x="242" s="1"/>
      </t>
    </mdx>
    <mdx n="0" f="v">
      <t c="4" si="29">
        <n x="240"/>
        <n x="17"/>
        <n x="166"/>
        <n x="242" s="1"/>
      </t>
    </mdx>
    <mdx n="0" f="v">
      <t c="5" si="33">
        <n x="240"/>
        <n x="30"/>
        <n x="8"/>
        <n x="35"/>
        <n x="242" s="1"/>
      </t>
    </mdx>
    <mdx n="0" f="v">
      <t c="4" si="33">
        <n x="241"/>
        <n x="30"/>
        <n x="98"/>
        <n x="242" s="1"/>
      </t>
    </mdx>
    <mdx n="0" f="v">
      <t c="4" si="33">
        <n x="240"/>
        <n x="30"/>
        <n x="95"/>
        <n x="242" s="1"/>
      </t>
    </mdx>
    <mdx n="0" f="v">
      <t c="4" si="29">
        <n x="241"/>
        <n x="17"/>
        <n x="172"/>
        <n x="242" s="1"/>
      </t>
    </mdx>
    <mdx n="0" f="v">
      <t c="4" si="29">
        <n x="241"/>
        <n x="31"/>
        <n x="161"/>
        <n x="242" s="1"/>
      </t>
    </mdx>
    <mdx n="0" f="v">
      <t c="4" si="33">
        <n x="240"/>
        <n x="32"/>
        <n x="201"/>
        <n x="242" s="1"/>
      </t>
    </mdx>
    <mdx n="0" f="v">
      <t c="4" si="29">
        <n x="241"/>
        <n x="17"/>
        <n x="93"/>
        <n x="242" s="1"/>
      </t>
    </mdx>
    <mdx n="0" f="v">
      <t c="4" si="33">
        <n x="240"/>
        <n x="32"/>
        <n x="157"/>
        <n x="242" s="1"/>
      </t>
    </mdx>
    <mdx n="0" f="v">
      <t c="4" si="29">
        <n x="240"/>
        <n x="17"/>
        <n x="182"/>
        <n x="242" s="1"/>
      </t>
    </mdx>
    <mdx n="0" f="v">
      <t c="4" si="29">
        <n x="241"/>
        <n x="31"/>
        <n x="178"/>
        <n x="242" s="1"/>
      </t>
    </mdx>
    <mdx n="0" f="v">
      <t c="4" si="29">
        <n x="241"/>
        <n x="17"/>
        <n x="181"/>
        <n x="242" s="1"/>
      </t>
    </mdx>
    <mdx n="0" f="v">
      <t c="4" si="33">
        <n x="241"/>
        <n x="30"/>
        <n x="178"/>
        <n x="242" s="1"/>
      </t>
    </mdx>
    <mdx n="0" f="v">
      <t c="5" si="33">
        <n x="240"/>
        <n x="30"/>
        <n x="5"/>
        <n x="34"/>
        <n x="242" s="1"/>
      </t>
    </mdx>
    <mdx n="0" f="v">
      <t c="4" si="29">
        <n x="240"/>
        <n x="17"/>
        <n x="114"/>
        <n x="242" s="1"/>
      </t>
    </mdx>
    <mdx n="0" f="v">
      <t c="5" si="29">
        <n x="240"/>
        <n x="17"/>
        <n x="2"/>
        <n x="23"/>
        <n x="242" s="1"/>
      </t>
    </mdx>
    <mdx n="0" f="v">
      <t c="4" si="33">
        <n x="241"/>
        <n x="32"/>
        <n x="180"/>
        <n x="242" s="1"/>
      </t>
    </mdx>
    <mdx n="0" f="v">
      <t c="4" si="33">
        <n x="240"/>
        <n x="39"/>
        <n x="32"/>
        <n x="242" s="1"/>
      </t>
    </mdx>
    <mdx n="0" f="v">
      <t c="5" si="29">
        <n x="240"/>
        <n x="17"/>
        <n x="24"/>
        <n x="7"/>
        <n x="242" s="1"/>
      </t>
    </mdx>
    <mdx n="0" f="v">
      <t c="5" si="33">
        <n x="240"/>
        <n x="30"/>
        <n x="13"/>
        <n x="43"/>
        <n x="242" s="1"/>
      </t>
    </mdx>
    <mdx n="0" f="v">
      <t c="4" si="29">
        <n x="240"/>
        <n x="184"/>
        <n x="17"/>
        <n x="242" s="1"/>
      </t>
    </mdx>
    <mdx n="0" f="v">
      <t c="4" si="33">
        <n x="241"/>
        <n x="32"/>
        <n x="100"/>
        <n x="242" s="1"/>
      </t>
    </mdx>
    <mdx n="0" f="v">
      <t c="4" si="29">
        <n x="241"/>
        <n x="17"/>
        <n x="110"/>
        <n x="242" s="1"/>
      </t>
    </mdx>
    <mdx n="0" f="v">
      <t c="4" si="33">
        <n x="240"/>
        <n x="32"/>
        <n x="188"/>
        <n x="242" s="1"/>
      </t>
    </mdx>
    <mdx n="0" f="v">
      <t c="4" si="33">
        <n x="240"/>
        <n x="32"/>
        <n x="193"/>
        <n x="242" s="1"/>
      </t>
    </mdx>
    <mdx n="0" f="v">
      <t c="4" si="33">
        <n x="241"/>
        <n x="30"/>
        <n x="110"/>
        <n x="242" s="1"/>
      </t>
    </mdx>
    <mdx n="0" f="v">
      <t c="4" si="33">
        <n x="240"/>
        <n x="30"/>
        <n x="193"/>
        <n x="242" s="1"/>
      </t>
    </mdx>
    <mdx n="0" f="v">
      <t c="5" si="33">
        <n x="240"/>
        <n x="30"/>
        <n x="15"/>
        <n x="34"/>
        <n x="242" s="1"/>
      </t>
    </mdx>
    <mdx n="0" f="v">
      <t c="5" si="29">
        <n x="240"/>
        <n x="17"/>
        <n x="25"/>
        <n x="7"/>
        <n x="242" s="1"/>
      </t>
    </mdx>
    <mdx n="0" f="v">
      <t c="4" si="33">
        <n x="240"/>
        <n x="30"/>
        <n x="127"/>
        <n x="242" s="1"/>
      </t>
    </mdx>
    <mdx n="0" f="v">
      <t c="4" si="33">
        <n x="241"/>
        <n x="30"/>
        <n x="188"/>
        <n x="242" s="1"/>
      </t>
    </mdx>
    <mdx n="0" f="v">
      <t c="4" si="29">
        <n x="240"/>
        <n x="17"/>
        <n x="86"/>
        <n x="242" s="1"/>
      </t>
    </mdx>
    <mdx n="0" f="v">
      <t c="4" si="29">
        <n x="241"/>
        <n x="31"/>
        <n x="182"/>
        <n x="242" s="1"/>
      </t>
    </mdx>
    <mdx n="0" f="v">
      <t c="4" si="29">
        <n x="240"/>
        <n x="31"/>
        <n x="188"/>
        <n x="242" s="1"/>
      </t>
    </mdx>
    <mdx n="0" f="v">
      <t c="4" si="33">
        <n x="241"/>
        <n x="32"/>
        <n x="86"/>
        <n x="242" s="1"/>
      </t>
    </mdx>
    <mdx n="0" f="v">
      <t c="4" si="29">
        <n x="240"/>
        <n x="45"/>
        <n x="17"/>
        <n x="242" s="1"/>
      </t>
    </mdx>
    <mdx n="0" f="v">
      <t c="4" si="33">
        <n x="241"/>
        <n x="30"/>
        <n x="194"/>
        <n x="242" s="1"/>
      </t>
    </mdx>
    <mdx n="0" f="v">
      <t c="4" si="33">
        <n x="240"/>
        <n x="47"/>
        <n x="30"/>
        <n x="242" s="1"/>
      </t>
    </mdx>
    <mdx n="0" f="v">
      <t c="4" si="29">
        <n x="241"/>
        <n x="31"/>
        <n x="149"/>
        <n x="242" s="1"/>
      </t>
    </mdx>
    <mdx n="0" f="v">
      <t c="4" si="29">
        <n x="241"/>
        <n x="17"/>
        <n x="102"/>
        <n x="242" s="1"/>
      </t>
    </mdx>
    <mdx n="0" f="v">
      <t c="4" si="33">
        <n x="240"/>
        <n x="51"/>
        <n x="30"/>
        <n x="242" s="1"/>
      </t>
    </mdx>
    <mdx n="0" f="v">
      <t c="4" si="33">
        <n x="241"/>
        <n x="30"/>
        <n x="182"/>
        <n x="242" s="1"/>
      </t>
    </mdx>
    <mdx n="0" f="v">
      <t c="4" si="29">
        <n x="240"/>
        <n x="31"/>
        <n x="146"/>
        <n x="242" s="1"/>
      </t>
    </mdx>
    <mdx n="0" f="v">
      <t c="4" si="29">
        <n x="241"/>
        <n x="31"/>
        <n x="86"/>
        <n x="242" s="1"/>
      </t>
    </mdx>
    <mdx n="0" f="v">
      <t c="4" si="33">
        <n x="241"/>
        <n x="30"/>
        <n x="109"/>
        <n x="242" s="1"/>
      </t>
    </mdx>
    <mdx n="0" f="v">
      <t c="5" si="33">
        <n x="240"/>
        <n x="30"/>
        <n x="21"/>
        <n x="34"/>
        <n x="242" s="1"/>
      </t>
    </mdx>
    <mdx n="0" f="v">
      <t c="4" si="33">
        <n x="241"/>
        <n x="30"/>
        <n x="186"/>
        <n x="242" s="1"/>
      </t>
    </mdx>
    <mdx n="0" f="v">
      <t c="4" si="33">
        <n x="240"/>
        <n x="30"/>
        <n x="83"/>
        <n x="242" s="1"/>
      </t>
    </mdx>
    <mdx n="0" f="v">
      <t c="4" si="29">
        <n x="241"/>
        <n x="17"/>
        <n x="109"/>
        <n x="242" s="1"/>
      </t>
    </mdx>
    <mdx n="0" f="v">
      <t c="4" si="33">
        <n x="240"/>
        <n x="30"/>
        <n x="154"/>
        <n x="242" s="1"/>
      </t>
    </mdx>
    <mdx n="0" f="v">
      <t c="4" si="33">
        <n x="241"/>
        <n x="32"/>
        <n x="104"/>
        <n x="242" s="1"/>
      </t>
    </mdx>
    <mdx n="0" f="v">
      <t c="4" si="33">
        <n x="240"/>
        <n x="30"/>
        <n x="179"/>
        <n x="242" s="1"/>
      </t>
    </mdx>
    <mdx n="0" f="v">
      <t c="4" si="29">
        <n x="241"/>
        <n x="31"/>
        <n x="95"/>
        <n x="242" s="1"/>
      </t>
    </mdx>
    <mdx n="0" f="v">
      <t c="4" si="33">
        <n x="241"/>
        <n x="32"/>
        <n x="49"/>
        <n x="242" s="1"/>
      </t>
    </mdx>
    <mdx n="0" f="v">
      <t c="4" si="33">
        <n x="241"/>
        <n x="30"/>
        <n x="85"/>
        <n x="242" s="1"/>
      </t>
    </mdx>
    <mdx n="0" f="v">
      <t c="4" si="29">
        <n x="240"/>
        <n x="17"/>
        <n x="110"/>
        <n x="242" s="1"/>
      </t>
    </mdx>
    <mdx n="0" f="v">
      <t c="4" si="33">
        <n x="240"/>
        <n x="32"/>
        <n x="98"/>
        <n x="242" s="1"/>
      </t>
    </mdx>
    <mdx n="0" f="v">
      <t c="4" si="33">
        <n x="240"/>
        <n x="32"/>
        <n x="161"/>
        <n x="242" s="1"/>
      </t>
    </mdx>
    <mdx n="0" f="v">
      <t c="4" si="29">
        <n x="240"/>
        <n x="17"/>
        <n x="98"/>
        <n x="242" s="1"/>
      </t>
    </mdx>
    <mdx n="0" f="v">
      <t c="4" si="33">
        <n x="241"/>
        <n x="32"/>
        <n x="201"/>
        <n x="242" s="1"/>
      </t>
    </mdx>
    <mdx n="0" f="v">
      <t c="4" si="29">
        <n x="241"/>
        <n x="31"/>
        <n x="42"/>
        <n x="242" s="1"/>
      </t>
    </mdx>
    <mdx n="0" f="v">
      <t c="4" si="33">
        <n x="240"/>
        <n x="32"/>
        <n x="104"/>
        <n x="242" s="1"/>
      </t>
    </mdx>
    <mdx n="0" f="v">
      <t c="4" si="33">
        <n x="241"/>
        <n x="32"/>
        <n x="131"/>
        <n x="242" s="1"/>
      </t>
    </mdx>
    <mdx n="0" f="v">
      <t c="4" si="29">
        <n x="240"/>
        <n x="17"/>
        <n x="149"/>
        <n x="242" s="1"/>
      </t>
    </mdx>
    <mdx n="0" f="v">
      <t c="4" si="33">
        <n x="240"/>
        <n x="49"/>
        <n x="32"/>
        <n x="242" s="1"/>
      </t>
    </mdx>
    <mdx n="0" f="v">
      <t c="4" si="33">
        <n x="240"/>
        <n x="30"/>
        <n x="178"/>
        <n x="242" s="1"/>
      </t>
    </mdx>
    <mdx n="0" f="v">
      <t c="4" si="33">
        <n x="240"/>
        <n x="32"/>
        <n x="97"/>
        <n x="242" s="1"/>
      </t>
    </mdx>
    <mdx n="0" f="v">
      <t c="4" si="33">
        <n x="240"/>
        <n x="36"/>
        <n x="32"/>
        <n x="242" s="1"/>
      </t>
    </mdx>
    <mdx n="0" f="v">
      <t c="4" si="29">
        <n x="241"/>
        <n x="17"/>
        <n x="194"/>
        <n x="242" s="1"/>
      </t>
    </mdx>
    <mdx n="0" f="v">
      <t c="4" si="33">
        <n x="240"/>
        <n x="37"/>
        <n x="32"/>
        <n x="242" s="1"/>
      </t>
    </mdx>
    <mdx n="0" f="v">
      <t c="4" si="33">
        <n x="240"/>
        <n x="30"/>
        <n x="86"/>
        <n x="242" s="1"/>
      </t>
    </mdx>
    <mdx n="0" f="v">
      <t c="5" si="33">
        <n x="240"/>
        <n x="30"/>
        <n x="18"/>
        <n x="34"/>
        <n x="242" s="1"/>
      </t>
    </mdx>
    <mdx n="0" f="v">
      <t c="5" si="33">
        <n x="240"/>
        <n x="30"/>
        <n x="3"/>
        <n x="34"/>
        <n x="242" s="1"/>
      </t>
    </mdx>
    <mdx n="0" f="v">
      <t c="5" si="33">
        <n x="240"/>
        <n x="30"/>
        <n x="5"/>
        <n x="35"/>
        <n x="242" s="1"/>
      </t>
    </mdx>
    <mdx n="0" f="v">
      <t c="5" si="29">
        <n x="240"/>
        <n x="17"/>
        <n x="21"/>
        <n x="7"/>
        <n x="242" s="1"/>
      </t>
    </mdx>
    <mdx n="0" f="v">
      <t c="4" si="33">
        <n x="240"/>
        <n x="32"/>
        <n x="198"/>
        <n x="242" s="1"/>
      </t>
    </mdx>
    <mdx n="0" f="v">
      <t c="5" si="29">
        <n x="240"/>
        <n x="17"/>
        <n x="13"/>
        <n x="23"/>
        <n x="242" s="1"/>
      </t>
    </mdx>
    <mdx n="0" f="v">
      <t c="5" si="29">
        <n x="240"/>
        <n x="17"/>
        <n x="202"/>
        <n x="28"/>
        <n x="242" s="1"/>
      </t>
    </mdx>
    <mdx n="0" f="v">
      <t c="5" si="33">
        <n x="240"/>
        <n x="30"/>
        <n x="2"/>
        <n x="43"/>
        <n x="242" s="1"/>
      </t>
    </mdx>
    <mdx n="0" f="v">
      <t c="4" si="29">
        <n x="240"/>
        <n x="17"/>
        <n x="119"/>
        <n x="242" s="1"/>
      </t>
    </mdx>
    <mdx n="0" f="v">
      <t c="4" si="29">
        <n x="240"/>
        <n x="31"/>
        <n x="102"/>
        <n x="242" s="1"/>
      </t>
    </mdx>
    <mdx n="0" f="v">
      <t c="4" si="33">
        <n x="240"/>
        <n x="30"/>
        <n x="140"/>
        <n x="242" s="1"/>
      </t>
    </mdx>
    <mdx n="0" f="v">
      <t c="4" si="29">
        <n x="241"/>
        <n x="17"/>
        <n x="118"/>
        <n x="242" s="1"/>
      </t>
    </mdx>
    <mdx n="0" f="v">
      <t c="4" si="33">
        <n x="240"/>
        <n x="43"/>
        <n x="32"/>
        <n x="242" s="1"/>
      </t>
    </mdx>
    <mdx n="0" f="v">
      <t c="5" si="33">
        <n x="240"/>
        <n x="30"/>
        <n x="14"/>
        <n x="35"/>
        <n x="242" s="1"/>
      </t>
    </mdx>
    <mdx n="0" f="v">
      <t c="4" si="29">
        <n x="241"/>
        <n x="17"/>
        <n x="177"/>
        <n x="242" s="1"/>
      </t>
    </mdx>
    <mdx n="0" f="v">
      <t c="4" si="29">
        <n x="240"/>
        <n x="31"/>
        <n x="193"/>
        <n x="242" s="1"/>
      </t>
    </mdx>
    <mdx n="0" f="v">
      <t c="5" si="33">
        <n x="240"/>
        <n x="30"/>
        <n x="19"/>
        <n x="43"/>
        <n x="242" s="1"/>
      </t>
    </mdx>
    <mdx n="0" f="v">
      <t c="4" si="29">
        <n x="240"/>
        <n x="17"/>
        <n x="140"/>
        <n x="242" s="1"/>
      </t>
    </mdx>
    <mdx n="0" f="v">
      <t c="4" si="29">
        <n x="240"/>
        <n x="31"/>
        <n x="189"/>
        <n x="242" s="1"/>
      </t>
    </mdx>
    <mdx n="0" f="v">
      <t c="4" si="33">
        <n x="240"/>
        <n x="30"/>
        <n x="189"/>
        <n x="242" s="1"/>
      </t>
    </mdx>
    <mdx n="0" f="v">
      <t c="4" si="33">
        <n x="240"/>
        <n x="179"/>
        <n x="32"/>
        <n x="242" s="1"/>
      </t>
    </mdx>
    <mdx n="0" f="v">
      <t c="4" si="29">
        <n x="241"/>
        <n x="17"/>
        <n x="184"/>
        <n x="242" s="1"/>
      </t>
    </mdx>
    <mdx n="0" f="v">
      <t c="4" si="29">
        <n x="240"/>
        <n x="37"/>
        <n x="17"/>
        <n x="242" s="1"/>
      </t>
    </mdx>
    <mdx n="0" f="v">
      <t c="4" si="29">
        <n x="241"/>
        <n x="31"/>
        <n x="193"/>
        <n x="242" s="1"/>
      </t>
    </mdx>
    <mdx n="0" f="v">
      <t c="4" si="29">
        <n x="241"/>
        <n x="31"/>
        <n x="169"/>
        <n x="242" s="1"/>
      </t>
    </mdx>
    <mdx n="0" f="v">
      <t c="4" si="29">
        <n x="240"/>
        <n x="17"/>
        <n x="178"/>
        <n x="242" s="1"/>
      </t>
    </mdx>
    <mdx n="0" f="v">
      <t c="4" si="33">
        <n x="240"/>
        <n x="179"/>
        <n x="30"/>
        <n x="242" s="1"/>
      </t>
    </mdx>
    <mdx n="0" f="v">
      <t c="5" si="33">
        <n x="240"/>
        <n x="30"/>
        <n x="26"/>
        <n x="35"/>
        <n x="242" s="1"/>
      </t>
    </mdx>
    <mdx n="0" f="v">
      <t c="4" si="29">
        <n x="241"/>
        <n x="17"/>
        <n x="45"/>
        <n x="242" s="1"/>
      </t>
    </mdx>
    <mdx n="0" f="v">
      <t c="4" si="33">
        <n x="240"/>
        <n x="30"/>
        <n x="128"/>
        <n x="242" s="1"/>
      </t>
    </mdx>
    <mdx n="0" f="v">
      <t c="4" si="33">
        <n x="241"/>
        <n x="30"/>
        <n x="180"/>
        <n x="242" s="1"/>
      </t>
    </mdx>
    <mdx n="0" f="v">
      <t c="4" si="29">
        <n x="240"/>
        <n x="31"/>
        <n x="170"/>
        <n x="242" s="1"/>
      </t>
    </mdx>
    <mdx n="0" f="v">
      <t c="4" si="33">
        <n x="240"/>
        <n x="34"/>
        <n x="32"/>
        <n x="242" s="1"/>
      </t>
    </mdx>
    <mdx n="0" f="v">
      <t c="4" si="33">
        <n x="240"/>
        <n x="30"/>
        <n x="120"/>
        <n x="242" s="1"/>
      </t>
    </mdx>
    <mdx n="0" f="v">
      <t c="4" si="29">
        <n x="241"/>
        <n x="31"/>
        <n x="186"/>
        <n x="242" s="1"/>
      </t>
    </mdx>
    <mdx n="0" f="v">
      <t c="4" si="29">
        <n x="241"/>
        <n x="17"/>
        <n x="128"/>
        <n x="242" s="1"/>
      </t>
    </mdx>
    <mdx n="0" f="v">
      <t c="4" si="33">
        <n x="240"/>
        <n x="32"/>
        <n x="103"/>
        <n x="242" s="1"/>
      </t>
    </mdx>
    <mdx n="0" f="v">
      <t c="5" si="29">
        <n x="240"/>
        <n x="17"/>
        <n x="11"/>
        <n x="28"/>
        <n x="242" s="1"/>
      </t>
    </mdx>
    <mdx n="0" f="v">
      <t c="4" si="29">
        <n x="240"/>
        <n x="35"/>
        <n x="17"/>
        <n x="242" s="1"/>
      </t>
    </mdx>
    <mdx n="0" f="v">
      <t c="4" si="33">
        <n x="240"/>
        <n x="30"/>
        <n x="158"/>
        <n x="242" s="1"/>
      </t>
    </mdx>
    <mdx n="0" f="v">
      <t c="4" si="29">
        <n x="240"/>
        <n x="31"/>
        <n x="172"/>
        <n x="242" s="1"/>
      </t>
    </mdx>
    <mdx n="0" f="v">
      <t c="4" si="33">
        <n x="240"/>
        <n x="32"/>
        <n x="99"/>
        <n x="242" s="1"/>
      </t>
    </mdx>
    <mdx n="0" f="v">
      <t c="4" si="29">
        <n x="240"/>
        <n x="17"/>
        <n x="124"/>
        <n x="242" s="1"/>
      </t>
    </mdx>
    <mdx n="0" f="v">
      <t c="4" si="29">
        <n x="241"/>
        <n x="17"/>
        <n x="122"/>
        <n x="242" s="1"/>
      </t>
    </mdx>
    <mdx n="0" f="v">
      <t c="5" si="33">
        <n x="240"/>
        <n x="30"/>
        <n x="2"/>
        <n x="35"/>
        <n x="242" s="1"/>
      </t>
    </mdx>
    <mdx n="0" f="v">
      <t c="4" si="29">
        <n x="240"/>
        <n x="201"/>
        <n x="17"/>
        <n x="242" s="1"/>
      </t>
    </mdx>
    <mdx n="0" f="v">
      <t c="4" si="29">
        <n x="240"/>
        <n x="47"/>
        <n x="17"/>
        <n x="242" s="1"/>
      </t>
    </mdx>
    <mdx n="0" f="v">
      <t c="4" si="33">
        <n x="240"/>
        <n x="30"/>
        <n x="181"/>
        <n x="242" s="1"/>
      </t>
    </mdx>
    <mdx n="0" f="v">
      <t c="4" si="29">
        <n x="241"/>
        <n x="17"/>
        <n x="144"/>
        <n x="242" s="1"/>
      </t>
    </mdx>
    <mdx n="0" f="v">
      <t c="4" si="29">
        <n x="240"/>
        <n x="31"/>
        <n x="84"/>
        <n x="242" s="1"/>
      </t>
    </mdx>
    <mdx n="0" f="v">
      <t c="4" si="29">
        <n x="240"/>
        <n x="31"/>
        <n x="192"/>
        <n x="242" s="1"/>
      </t>
    </mdx>
    <mdx n="0" f="v">
      <t c="5" si="33">
        <n x="240"/>
        <n x="30"/>
        <n x="18"/>
        <n x="35"/>
        <n x="242" s="1"/>
      </t>
    </mdx>
    <mdx n="0" f="v">
      <t c="4" si="29">
        <n x="241"/>
        <n x="17"/>
        <n x="178"/>
        <n x="242" s="1"/>
      </t>
    </mdx>
    <mdx n="0" f="v">
      <t c="4" si="29">
        <n x="240"/>
        <n x="31"/>
        <n x="38"/>
        <n x="242" s="1"/>
      </t>
    </mdx>
    <mdx n="0" f="v">
      <t c="4" si="33">
        <n x="240"/>
        <n x="50"/>
        <n x="32"/>
        <n x="242" s="1"/>
      </t>
    </mdx>
    <mdx n="0" f="v">
      <t c="4" si="33">
        <n x="240"/>
        <n x="30"/>
        <n x="116"/>
        <n x="242" s="1"/>
      </t>
    </mdx>
    <mdx n="0" f="v">
      <t c="4" si="29">
        <n x="240"/>
        <n x="17"/>
        <n x="83"/>
        <n x="242" s="1"/>
      </t>
    </mdx>
    <mdx n="0" f="v">
      <t c="5" si="29">
        <n x="240"/>
        <n x="17"/>
        <n x="25"/>
        <n x="28"/>
        <n x="242" s="1"/>
      </t>
    </mdx>
    <mdx n="0" f="v">
      <t c="4" si="29">
        <n x="241"/>
        <n x="17"/>
        <n x="140"/>
        <n x="242" s="1"/>
      </t>
    </mdx>
    <mdx n="0" f="v">
      <t c="4" si="33">
        <n x="240"/>
        <n x="48"/>
        <n x="30"/>
        <n x="242" s="1"/>
      </t>
    </mdx>
    <mdx n="0" f="v">
      <t c="5" si="33">
        <n x="240"/>
        <n x="30"/>
        <n x="11"/>
        <n x="35"/>
        <n x="242" s="1"/>
      </t>
    </mdx>
    <mdx n="0" f="v">
      <t c="5" si="33">
        <n x="240"/>
        <n x="30"/>
        <n x="3"/>
        <n x="43"/>
        <n x="242" s="1"/>
      </t>
    </mdx>
    <mdx n="0" f="v">
      <t c="4" si="29">
        <n x="241"/>
        <n x="17"/>
        <n x="103"/>
        <n x="242" s="1"/>
      </t>
    </mdx>
    <mdx n="0" f="v">
      <t c="4" si="29">
        <n x="241"/>
        <n x="17"/>
        <n x="186"/>
        <n x="242" s="1"/>
      </t>
    </mdx>
    <mdx n="0" f="v">
      <t c="4" si="29">
        <n x="241"/>
        <n x="31"/>
        <n x="102"/>
        <n x="242" s="1"/>
      </t>
    </mdx>
    <mdx n="0" f="v">
      <t c="4" si="33">
        <n x="240"/>
        <n x="30"/>
        <n x="196"/>
        <n x="242" s="1"/>
      </t>
    </mdx>
    <mdx n="0" f="v">
      <t c="4" si="33">
        <n x="240"/>
        <n x="180"/>
        <n x="30"/>
        <n x="242" s="1"/>
      </t>
    </mdx>
    <mdx n="0" f="v">
      <t c="4" si="33">
        <n x="241"/>
        <n x="32"/>
        <n x="175"/>
        <n x="242" s="1"/>
      </t>
    </mdx>
    <mdx n="0" f="v">
      <t c="4" si="33">
        <n x="240"/>
        <n x="30"/>
        <n x="104"/>
        <n x="242" s="1"/>
      </t>
    </mdx>
    <mdx n="0" f="v">
      <t c="4" si="29">
        <n x="241"/>
        <n x="17"/>
        <n x="190"/>
        <n x="242" s="1"/>
      </t>
    </mdx>
    <mdx n="0" f="v">
      <t c="4" si="33">
        <n x="241"/>
        <n x="30"/>
        <n x="83"/>
        <n x="242" s="1"/>
      </t>
    </mdx>
    <mdx n="0" f="v">
      <t c="4" si="33">
        <n x="240"/>
        <n x="30"/>
        <n x="87"/>
        <n x="242" s="1"/>
      </t>
    </mdx>
    <mdx n="0" f="v">
      <t c="4" si="33">
        <n x="241"/>
        <n x="32"/>
        <n x="190"/>
        <n x="242" s="1"/>
      </t>
    </mdx>
    <mdx n="0" f="v">
      <t c="4" si="33">
        <n x="240"/>
        <n x="30"/>
        <n x="89"/>
        <n x="242" s="1"/>
      </t>
    </mdx>
    <mdx n="0" f="v">
      <t c="4" si="33">
        <n x="241"/>
        <n x="30"/>
        <n x="163"/>
        <n x="242" s="1"/>
      </t>
    </mdx>
    <mdx n="0" f="v">
      <t c="5" si="29">
        <n x="240"/>
        <n x="17"/>
        <n x="24"/>
        <n x="23"/>
        <n x="242" s="1"/>
      </t>
    </mdx>
    <mdx n="0" f="v">
      <t c="4" si="33">
        <n x="240"/>
        <n x="32"/>
        <n x="147"/>
        <n x="242" s="1"/>
      </t>
    </mdx>
    <mdx n="0" f="v">
      <t c="4" si="29">
        <n x="240"/>
        <n x="17"/>
        <n x="89"/>
        <n x="242" s="1"/>
      </t>
    </mdx>
    <mdx n="0" f="v">
      <t c="5" si="29">
        <n x="240"/>
        <n x="17"/>
        <n x="16"/>
        <n x="7"/>
        <n x="242" s="1"/>
      </t>
    </mdx>
    <mdx n="0" f="v">
      <t c="4" si="29">
        <n x="241"/>
        <n x="31"/>
        <n x="162"/>
        <n x="242" s="1"/>
      </t>
    </mdx>
    <mdx n="0" f="v">
      <t c="4" si="29">
        <n x="241"/>
        <n x="17"/>
        <n x="141"/>
        <n x="242" s="1"/>
      </t>
    </mdx>
    <mdx n="0" f="v">
      <t c="4" si="29">
        <n x="240"/>
        <n x="17"/>
        <n x="52"/>
        <n x="242" s="1"/>
      </t>
    </mdx>
    <mdx n="0" f="v">
      <t c="5" si="33">
        <n x="240"/>
        <n x="30"/>
        <n x="203"/>
        <n x="34"/>
        <n x="242" s="1"/>
      </t>
    </mdx>
    <mdx n="0" f="v">
      <t c="4" si="29">
        <n x="240"/>
        <n x="31"/>
        <n x="125"/>
        <n x="242" s="1"/>
      </t>
    </mdx>
    <mdx n="0" f="v">
      <t c="4" si="33">
        <n x="241"/>
        <n x="32"/>
        <n x="161"/>
        <n x="242" s="1"/>
      </t>
    </mdx>
    <mdx n="0" f="v">
      <t c="4" si="33">
        <n x="241"/>
        <n x="30"/>
        <n x="102"/>
        <n x="242" s="1"/>
      </t>
    </mdx>
    <mdx n="0" f="v">
      <t c="4" si="33">
        <n x="241"/>
        <n x="32"/>
        <n x="162"/>
        <n x="242" s="1"/>
      </t>
    </mdx>
    <mdx n="0" f="v">
      <t c="4" si="33">
        <n x="241"/>
        <n x="32"/>
        <n x="42"/>
        <n x="242" s="1"/>
      </t>
    </mdx>
    <mdx n="0" f="v">
      <t c="4" si="33">
        <n x="241"/>
        <n x="32"/>
        <n x="38"/>
        <n x="242" s="1"/>
      </t>
    </mdx>
    <mdx n="0" f="v">
      <t c="4" si="33">
        <n x="240"/>
        <n x="30"/>
        <n x="126"/>
        <n x="242" s="1"/>
      </t>
    </mdx>
    <mdx n="0" f="v">
      <t c="4" si="29">
        <n x="240"/>
        <n x="31"/>
        <n x="85"/>
        <n x="242" s="1"/>
      </t>
    </mdx>
    <mdx n="0" f="v">
      <t c="4" si="29">
        <n x="240"/>
        <n x="17"/>
        <n x="160"/>
        <n x="242" s="1"/>
      </t>
    </mdx>
    <mdx n="0" f="v">
      <t c="4" si="33">
        <n x="241"/>
        <n x="32"/>
        <n x="45"/>
        <n x="242" s="1"/>
      </t>
    </mdx>
    <mdx n="0" f="v">
      <t c="4" si="29">
        <n x="240"/>
        <n x="31"/>
        <n x="135"/>
        <n x="242" s="1"/>
      </t>
    </mdx>
    <mdx n="0" f="v">
      <t c="4" si="29">
        <n x="241"/>
        <n x="17"/>
        <n x="126"/>
        <n x="242" s="1"/>
      </t>
    </mdx>
    <mdx n="0" f="v">
      <t c="4" si="29">
        <n x="241"/>
        <n x="31"/>
        <n x="131"/>
        <n x="242" s="1"/>
      </t>
    </mdx>
    <mdx n="0" f="v">
      <t c="4" si="33">
        <n x="240"/>
        <n x="30"/>
        <n x="163"/>
        <n x="242" s="1"/>
      </t>
    </mdx>
    <mdx n="0" f="v">
      <t c="4" si="29">
        <n x="240"/>
        <n x="31"/>
        <n x="45"/>
        <n x="242" s="1"/>
      </t>
    </mdx>
    <mdx n="0" f="v">
      <t c="4" si="33">
        <n x="240"/>
        <n x="52"/>
        <n x="30"/>
        <n x="242" s="1"/>
      </t>
    </mdx>
    <mdx n="0" f="v">
      <t c="5" si="33">
        <n x="240"/>
        <n x="30"/>
        <n x="20"/>
        <n x="35"/>
        <n x="242" s="1"/>
      </t>
    </mdx>
    <mdx n="0" f="v">
      <t c="4" si="29">
        <n x="240"/>
        <n x="175"/>
        <n x="17"/>
        <n x="242" s="1"/>
      </t>
    </mdx>
    <mdx n="0" f="v">
      <t c="4" si="33">
        <n x="240"/>
        <n x="32"/>
        <n x="176"/>
        <n x="242" s="1"/>
      </t>
    </mdx>
    <mdx n="0" f="v">
      <t c="4" si="33">
        <n x="241"/>
        <n x="30"/>
        <n x="40"/>
        <n x="242" s="1"/>
      </t>
    </mdx>
    <mdx n="0" f="v">
      <t c="4" si="33">
        <n x="240"/>
        <n x="52"/>
        <n x="32"/>
        <n x="242" s="1"/>
      </t>
    </mdx>
    <mdx n="0" f="v">
      <t c="5" si="29">
        <n x="240"/>
        <n x="17"/>
        <n x="22"/>
        <n x="28"/>
        <n x="242" s="1"/>
      </t>
    </mdx>
    <mdx n="0" f="v">
      <t c="4" si="33">
        <n x="241"/>
        <n x="32"/>
        <n x="53"/>
        <n x="242" s="1"/>
      </t>
    </mdx>
    <mdx n="0" f="v">
      <t c="4" si="29">
        <n x="240"/>
        <n x="17"/>
        <n x="38"/>
        <n x="242" s="1"/>
      </t>
    </mdx>
    <mdx n="0" f="v">
      <t c="4" si="33">
        <n x="240"/>
        <n x="32"/>
        <n x="149"/>
        <n x="242" s="1"/>
      </t>
    </mdx>
    <mdx n="0" f="v">
      <t c="5" si="33">
        <n x="240"/>
        <n x="30"/>
        <n x="19"/>
        <n x="34"/>
        <n x="242" s="1"/>
      </t>
    </mdx>
    <mdx n="0" f="v">
      <t c="5" si="33">
        <n x="240"/>
        <n x="30"/>
        <n x="6"/>
        <n x="35"/>
        <n x="242" s="1"/>
      </t>
    </mdx>
    <mdx n="0" f="v">
      <t c="4" si="29">
        <n x="240"/>
        <n x="17"/>
        <n x="190"/>
        <n x="242" s="1"/>
      </t>
    </mdx>
    <mdx n="0" f="v">
      <t c="4" si="33">
        <n x="240"/>
        <n x="30"/>
        <n x="123"/>
        <n x="242" s="1"/>
      </t>
    </mdx>
    <mdx n="0" f="v">
      <t c="4" si="33">
        <n x="240"/>
        <n x="175"/>
        <n x="30"/>
        <n x="242" s="1"/>
      </t>
    </mdx>
    <mdx n="0" f="v">
      <t c="4" si="33">
        <n x="241"/>
        <n x="30"/>
        <n x="195"/>
        <n x="242" s="1"/>
      </t>
    </mdx>
    <mdx n="0" f="v">
      <t c="5" si="33">
        <n x="240"/>
        <n x="30"/>
        <n x="202"/>
        <n x="35"/>
        <n x="242" s="1"/>
      </t>
    </mdx>
    <mdx n="0" f="v">
      <t c="4" si="33">
        <n x="240"/>
        <n x="30"/>
        <n x="161"/>
        <n x="242" s="1"/>
      </t>
    </mdx>
    <mdx n="0" f="v">
      <t c="4" si="33">
        <n x="241"/>
        <n x="30"/>
        <n x="49"/>
        <n x="242" s="1"/>
      </t>
    </mdx>
    <mdx n="0" f="v">
      <t c="4" si="29">
        <n x="240"/>
        <n x="31"/>
        <n x="97"/>
        <n x="242" s="1"/>
      </t>
    </mdx>
    <mdx n="0" f="v">
      <t c="4" si="29">
        <n x="241"/>
        <n x="31"/>
        <n x="84"/>
        <n x="242" s="1"/>
      </t>
    </mdx>
    <mdx n="0" f="v">
      <t c="5" si="29">
        <n x="240"/>
        <n x="17"/>
        <n x="14"/>
        <n x="7"/>
        <n x="242" s="1"/>
      </t>
    </mdx>
    <mdx n="0" f="v">
      <t c="5" si="29">
        <n x="240"/>
        <n x="17"/>
        <n x="27"/>
        <n x="23"/>
        <n x="242" s="1"/>
      </t>
    </mdx>
    <mdx n="0" f="v">
      <t c="5" si="33">
        <n x="240"/>
        <n x="30"/>
        <n x="8"/>
        <n x="34"/>
        <n x="242" s="1"/>
      </t>
    </mdx>
    <mdx n="0" f="v">
      <t c="4" si="29">
        <n x="241"/>
        <n x="17"/>
        <n x="191"/>
        <n x="242" s="1"/>
      </t>
    </mdx>
    <mdx n="0" f="v">
      <t c="5" si="29">
        <n x="240"/>
        <n x="17"/>
        <n x="6"/>
        <n x="23"/>
        <n x="242" s="1"/>
      </t>
    </mdx>
    <mdx n="0" f="v">
      <t c="4" si="29">
        <n x="240"/>
        <n x="31"/>
        <n x="162"/>
        <n x="242" s="1"/>
      </t>
    </mdx>
    <mdx n="0" f="v">
      <t c="5" si="29">
        <n x="240"/>
        <n x="17"/>
        <n x="1"/>
        <n x="23"/>
        <n x="242" s="1"/>
      </t>
    </mdx>
    <mdx n="0" f="v">
      <t c="4" si="29">
        <n x="241"/>
        <n x="17"/>
        <n x="176"/>
        <n x="242" s="1"/>
      </t>
    </mdx>
    <mdx n="0" f="v">
      <t c="4" si="33">
        <n x="240"/>
        <n x="32"/>
        <n x="139"/>
        <n x="242" s="1"/>
      </t>
    </mdx>
    <mdx n="0" f="v">
      <t c="5" si="29">
        <n x="240"/>
        <n x="17"/>
        <n x="21"/>
        <n x="28"/>
        <n x="242" s="1"/>
      </t>
    </mdx>
    <mdx n="0" f="v">
      <t c="4" si="33">
        <n x="240"/>
        <n x="30"/>
        <n x="150"/>
        <n x="242" s="1"/>
      </t>
    </mdx>
    <mdx n="0" f="v">
      <t c="4" si="33">
        <n x="241"/>
        <n x="32"/>
        <n x="139"/>
        <n x="242" s="1"/>
      </t>
    </mdx>
    <mdx n="0" f="v">
      <t c="4" si="29">
        <n x="241"/>
        <n x="17"/>
        <n x="49"/>
        <n x="242" s="1"/>
      </t>
    </mdx>
    <mdx n="0" f="v">
      <t c="4" si="33">
        <n x="240"/>
        <n x="43"/>
        <n x="30"/>
        <n x="242" s="1"/>
      </t>
    </mdx>
    <mdx n="0" f="v">
      <t c="4" si="29">
        <n x="240"/>
        <n x="31"/>
        <n x="182"/>
        <n x="242" s="1"/>
      </t>
    </mdx>
    <mdx n="0" f="v">
      <t c="4" si="29">
        <n x="241"/>
        <n x="17"/>
        <n x="150"/>
        <n x="242" s="1"/>
      </t>
    </mdx>
    <mdx n="0" f="v">
      <t c="4" si="29">
        <n x="240"/>
        <n x="17"/>
        <n x="84"/>
        <n x="242" s="1"/>
      </t>
    </mdx>
    <mdx n="0" f="v">
      <t c="4" si="29">
        <n x="240"/>
        <n x="31"/>
        <n x="178"/>
        <n x="242" s="1"/>
      </t>
    </mdx>
    <mdx n="0" f="v">
      <t c="4" si="33">
        <n x="240"/>
        <n x="32"/>
        <n x="114"/>
        <n x="242" s="1"/>
      </t>
    </mdx>
    <mdx n="0" f="v">
      <t c="4" si="29">
        <n x="241"/>
        <n x="17"/>
        <n x="175"/>
        <n x="242" s="1"/>
      </t>
    </mdx>
    <mdx n="0" f="v">
      <t c="4" si="33">
        <n x="241"/>
        <n x="30"/>
        <n x="191"/>
        <n x="242" s="1"/>
      </t>
    </mdx>
    <mdx n="0" f="v">
      <t c="4" si="33">
        <n x="240"/>
        <n x="30"/>
        <n x="166"/>
        <n x="242" s="1"/>
      </t>
    </mdx>
    <mdx n="0" f="v">
      <t c="4" si="29">
        <n x="241"/>
        <n x="31"/>
        <n x="123"/>
        <n x="242" s="1"/>
      </t>
    </mdx>
    <mdx n="0" f="v">
      <t c="4" si="33">
        <n x="241"/>
        <n x="30"/>
        <n x="37"/>
        <n x="242" s="1"/>
      </t>
    </mdx>
    <mdx n="0" f="v">
      <t c="4" si="29">
        <n x="240"/>
        <n x="53"/>
        <n x="17"/>
        <n x="242" s="1"/>
      </t>
    </mdx>
    <mdx n="0" f="v">
      <t c="4" si="33">
        <n x="240"/>
        <n x="46"/>
        <n x="32"/>
        <n x="242" s="1"/>
      </t>
    </mdx>
    <mdx n="0" f="v">
      <t c="5" si="33">
        <n x="240"/>
        <n x="30"/>
        <n x="3"/>
        <n x="35"/>
        <n x="242" s="1"/>
      </t>
    </mdx>
    <mdx n="0" f="v">
      <t c="4" si="33">
        <n x="240"/>
        <n x="32"/>
        <n x="191"/>
        <n x="242" s="1"/>
      </t>
    </mdx>
    <mdx n="0" f="v">
      <t c="4" si="33">
        <n x="241"/>
        <n x="32"/>
        <n x="95"/>
        <n x="242" s="1"/>
      </t>
    </mdx>
    <mdx n="0" f="v">
      <t c="4" si="29">
        <n x="240"/>
        <n x="31"/>
        <n x="181"/>
        <n x="242" s="1"/>
      </t>
    </mdx>
    <mdx n="0" f="v">
      <t c="4" si="33">
        <n x="240"/>
        <n x="30"/>
        <n x="136"/>
        <n x="242" s="1"/>
      </t>
    </mdx>
    <mdx n="0" f="v">
      <t c="4" si="33">
        <n x="240"/>
        <n x="30"/>
        <n x="182"/>
        <n x="242" s="1"/>
      </t>
    </mdx>
    <mdx n="0" f="v">
      <t c="5" si="29">
        <n x="240"/>
        <n x="17"/>
        <n x="20"/>
        <n x="28"/>
        <n x="242" s="1"/>
      </t>
    </mdx>
    <mdx n="0" f="v">
      <t c="4" si="33">
        <n x="240"/>
        <n x="32"/>
        <n x="162"/>
        <n x="242" s="1"/>
      </t>
    </mdx>
    <mdx n="0" f="v">
      <t c="4" si="33">
        <n x="240"/>
        <n x="30"/>
        <n x="190"/>
        <n x="242" s="1"/>
      </t>
    </mdx>
    <mdx n="0" f="v">
      <t c="4" si="33">
        <n x="241"/>
        <n x="30"/>
        <n x="141"/>
        <n x="242" s="1"/>
      </t>
    </mdx>
    <mdx n="0" f="v">
      <t c="4" si="29">
        <n x="241"/>
        <n x="31"/>
        <n x="119"/>
        <n x="242" s="1"/>
      </t>
    </mdx>
    <mdx n="0" f="v">
      <t c="4" si="29">
        <n x="240"/>
        <n x="17"/>
        <n x="104"/>
        <n x="242" s="1"/>
      </t>
    </mdx>
    <mdx n="0" f="v">
      <t c="4" si="29">
        <n x="240"/>
        <n x="31"/>
        <n x="163"/>
        <n x="242" s="1"/>
      </t>
    </mdx>
    <mdx n="0" f="v">
      <t c="4" si="33">
        <n x="241"/>
        <n x="32"/>
        <n x="130"/>
        <n x="242" s="1"/>
      </t>
    </mdx>
    <mdx n="0" f="v">
      <t c="4" si="33">
        <n x="241"/>
        <n x="30"/>
        <n x="181"/>
        <n x="242" s="1"/>
      </t>
    </mdx>
    <mdx n="0" f="v">
      <t c="5" si="33">
        <n x="240"/>
        <n x="30"/>
        <n x="6"/>
        <n x="34"/>
        <n x="242" s="1"/>
      </t>
    </mdx>
    <mdx n="0" f="v">
      <t c="4" si="29">
        <n x="240"/>
        <n x="17"/>
        <n x="94"/>
        <n x="242" s="1"/>
      </t>
    </mdx>
    <mdx n="0" f="v">
      <t c="4" si="29">
        <n x="241"/>
        <n x="31"/>
        <n x="127"/>
        <n x="242" s="1"/>
      </t>
    </mdx>
    <mdx n="0" f="v">
      <t c="5" si="29">
        <n x="240"/>
        <n x="17"/>
        <n x="202"/>
        <n x="23"/>
        <n x="242" s="1"/>
      </t>
    </mdx>
    <mdx n="0" f="v">
      <t c="5" si="29">
        <n x="240"/>
        <n x="17"/>
        <n x="15"/>
        <n x="23"/>
        <n x="242" s="1"/>
      </t>
    </mdx>
    <mdx n="0" f="v">
      <t c="4" si="33">
        <n x="241"/>
        <n x="32"/>
        <n x="144"/>
        <n x="242" s="1"/>
      </t>
    </mdx>
    <mdx n="0" f="v">
      <t c="5" si="29">
        <n x="240"/>
        <n x="17"/>
        <n x="10"/>
        <n x="23"/>
        <n x="242" s="1"/>
      </t>
    </mdx>
    <mdx n="0" f="v">
      <t c="4" si="29">
        <n x="240"/>
        <n x="51"/>
        <n x="17"/>
        <n x="242" s="1"/>
      </t>
    </mdx>
    <mdx n="0" f="v">
      <t c="4" si="33">
        <n x="241"/>
        <n x="30"/>
        <n x="149"/>
        <n x="242" s="1"/>
      </t>
    </mdx>
    <mdx n="0" f="v">
      <t c="5" si="29">
        <n x="240"/>
        <n x="17"/>
        <n x="3"/>
        <n x="28"/>
        <n x="242" s="1"/>
      </t>
    </mdx>
    <mdx n="0" f="v">
      <t c="4" si="29">
        <n x="241"/>
        <n x="31"/>
        <n x="176"/>
        <n x="242" s="1"/>
      </t>
    </mdx>
    <mdx n="0" f="v">
      <t c="4" si="29">
        <n x="240"/>
        <n x="17"/>
        <n x="195"/>
        <n x="242" s="1"/>
      </t>
    </mdx>
    <mdx n="0" f="v">
      <t c="4" si="29">
        <n x="241"/>
        <n x="17"/>
        <n x="87"/>
        <n x="242" s="1"/>
      </t>
    </mdx>
    <mdx n="0" f="v">
      <t c="4" si="33">
        <n x="240"/>
        <n x="32"/>
        <n x="138"/>
        <n x="242" s="1"/>
      </t>
    </mdx>
    <mdx n="0" f="v">
      <t c="4" si="33">
        <n x="240"/>
        <n x="30"/>
        <n x="37"/>
        <n x="242" s="1"/>
      </t>
    </mdx>
    <mdx n="0" f="v">
      <t c="4" si="29">
        <n x="241"/>
        <n x="31"/>
        <n x="136"/>
        <n x="242" s="1"/>
      </t>
    </mdx>
    <mdx n="0" f="v">
      <t c="5" si="29">
        <n x="240"/>
        <n x="17"/>
        <n x="5"/>
        <n x="7"/>
        <n x="242" s="1"/>
      </t>
    </mdx>
    <mdx n="0" f="v">
      <t c="4" si="29">
        <n x="241"/>
        <n x="31"/>
        <n x="114"/>
        <n x="242" s="1"/>
      </t>
    </mdx>
    <mdx n="0" f="v">
      <t c="4" si="29">
        <n x="240"/>
        <n x="17"/>
        <n x="128"/>
        <n x="242" s="1"/>
      </t>
    </mdx>
    <mdx n="0" f="v">
      <t c="5" si="29">
        <n x="240"/>
        <n x="17"/>
        <n x="20"/>
        <n x="23"/>
        <n x="242" s="1"/>
      </t>
    </mdx>
    <mdx n="0" f="v">
      <t c="4" si="29">
        <n x="240"/>
        <n x="31"/>
        <n x="87"/>
        <n x="242" s="1"/>
      </t>
    </mdx>
    <mdx n="0" f="v">
      <t c="4" si="29">
        <n x="240"/>
        <n x="17"/>
        <n x="93"/>
        <n x="242" s="1"/>
      </t>
    </mdx>
    <mdx n="0" f="v">
      <t c="4" si="33">
        <n x="240"/>
        <n x="32"/>
        <n x="44"/>
        <n x="242" s="1"/>
      </t>
    </mdx>
    <mdx n="0" f="v">
      <t c="4" si="33">
        <n x="240"/>
        <n x="36"/>
        <n x="30"/>
        <n x="242" s="1"/>
      </t>
    </mdx>
    <mdx n="0" f="v">
      <t c="4" si="29">
        <n x="241"/>
        <n x="31"/>
        <n x="93"/>
        <n x="242" s="1"/>
      </t>
    </mdx>
    <mdx n="0" f="v">
      <t c="5" si="29">
        <n x="240"/>
        <n x="17"/>
        <n x="6"/>
        <n x="28"/>
        <n x="242" s="1"/>
      </t>
    </mdx>
    <mdx n="0" f="v">
      <t c="4" si="29">
        <n x="240"/>
        <n x="17"/>
        <n x="183"/>
        <n x="242" s="1"/>
      </t>
    </mdx>
    <mdx n="0" f="v">
      <t c="4" si="33">
        <n x="241"/>
        <n x="30"/>
        <n x="183"/>
        <n x="242" s="1"/>
      </t>
    </mdx>
    <mdx n="0" f="v">
      <t c="4" si="29">
        <n x="240"/>
        <n x="31"/>
        <n x="197"/>
        <n x="242" s="1"/>
      </t>
    </mdx>
    <mdx n="0" f="v">
      <t c="4" si="33">
        <n x="241"/>
        <n x="30"/>
        <n x="87"/>
        <n x="242" s="1"/>
      </t>
    </mdx>
    <mdx n="0" f="v">
      <t c="4" si="33">
        <n x="240"/>
        <n x="30"/>
        <n x="40"/>
        <n x="242" s="1"/>
      </t>
    </mdx>
    <mdx n="0" f="v">
      <t c="4" si="33">
        <n x="240"/>
        <n x="30"/>
        <n x="186"/>
        <n x="242" s="1"/>
      </t>
    </mdx>
    <mdx n="0" f="v">
      <t c="4" si="29">
        <n x="241"/>
        <n x="17"/>
        <n x="116"/>
        <n x="242" s="1"/>
      </t>
    </mdx>
    <mdx n="0" f="v">
      <t c="4" si="33">
        <n x="240"/>
        <n x="32"/>
        <n x="135"/>
        <n x="242" s="1"/>
      </t>
    </mdx>
    <mdx n="0" f="v">
      <t c="4" si="29">
        <n x="241"/>
        <n x="17"/>
        <n x="180"/>
        <n x="242" s="1"/>
      </t>
    </mdx>
    <mdx n="0" f="v">
      <t c="5" si="33">
        <n x="240"/>
        <n x="30"/>
        <n x="12"/>
        <n x="35"/>
        <n x="242" s="1"/>
      </t>
    </mdx>
    <mdx n="0" f="v">
      <t c="4" si="29">
        <n x="240"/>
        <n x="48"/>
        <n x="17"/>
        <n x="242" s="1"/>
      </t>
    </mdx>
    <mdx n="0" f="v">
      <t c="4" si="33">
        <n x="240"/>
        <n x="38"/>
        <n x="30"/>
        <n x="242" s="1"/>
      </t>
    </mdx>
    <mdx n="0" f="v">
      <t c="5" si="29">
        <n x="240"/>
        <n x="17"/>
        <n x="8"/>
        <n x="7"/>
        <n x="242" s="1"/>
      </t>
    </mdx>
    <mdx n="0" f="v">
      <t c="4" si="29">
        <n x="241"/>
        <n x="17"/>
        <n x="130"/>
        <n x="242" s="1"/>
      </t>
    </mdx>
    <mdx n="0" f="v">
      <t c="5" si="29">
        <n x="240"/>
        <n x="17"/>
        <n x="202"/>
        <n x="7"/>
        <n x="242" s="1"/>
      </t>
    </mdx>
    <mdx n="0" f="v">
      <t c="4" si="33">
        <n x="240"/>
        <n x="44"/>
        <n x="30"/>
        <n x="242" s="1"/>
      </t>
    </mdx>
    <mdx n="0" f="v">
      <t c="4" si="29">
        <n x="240"/>
        <n x="38"/>
        <n x="17"/>
        <n x="242" s="1"/>
      </t>
    </mdx>
    <mdx n="0" f="v">
      <t c="5" si="29">
        <n x="240"/>
        <n x="17"/>
        <n x="5"/>
        <n x="23"/>
        <n x="242" s="1"/>
      </t>
    </mdx>
    <mdx n="0" f="v">
      <t c="4" si="29">
        <n x="241"/>
        <n x="17"/>
        <n x="192"/>
        <n x="242" s="1"/>
      </t>
    </mdx>
    <mdx n="0" f="v">
      <t c="4" si="29">
        <n x="240"/>
        <n x="17"/>
        <n x="97"/>
        <n x="242" s="1"/>
      </t>
    </mdx>
    <mdx n="0" f="v">
      <t c="4" si="33">
        <n x="240"/>
        <n x="184"/>
        <n x="30"/>
        <n x="242" s="1"/>
      </t>
    </mdx>
    <mdx n="0" f="v">
      <t c="4" si="29">
        <n x="240"/>
        <n x="36"/>
        <n x="17"/>
        <n x="242" s="1"/>
      </t>
    </mdx>
    <mdx n="0" f="v">
      <t c="4" si="29">
        <n x="241"/>
        <n x="31"/>
        <n x="188"/>
        <n x="242" s="1"/>
      </t>
    </mdx>
    <mdx n="0" f="v">
      <t c="4" si="33">
        <n x="240"/>
        <n x="30"/>
        <n x="138"/>
        <n x="242" s="1"/>
      </t>
    </mdx>
    <mdx n="0" f="v">
      <t c="4" si="29">
        <n x="241"/>
        <n x="17"/>
        <n x="161"/>
        <n x="242" s="1"/>
      </t>
    </mdx>
    <mdx n="0" f="v">
      <t c="4" si="33">
        <n x="240"/>
        <n x="32"/>
        <n x="177"/>
        <n x="242" s="1"/>
      </t>
    </mdx>
    <mdx n="0" f="v">
      <t c="5" si="33">
        <n x="240"/>
        <n x="30"/>
        <n x="16"/>
        <n x="34"/>
        <n x="242" s="1"/>
      </t>
    </mdx>
    <mdx n="0" f="v">
      <t c="4" si="33">
        <n x="241"/>
        <n x="30"/>
        <n x="184"/>
        <n x="242" s="1"/>
      </t>
    </mdx>
    <mdx n="0" f="v">
      <t c="4" si="29">
        <n x="241"/>
        <n x="31"/>
        <n x="156"/>
        <n x="242" s="1"/>
      </t>
    </mdx>
    <mdx n="0" f="v">
      <t c="4" si="29">
        <n x="241"/>
        <n x="31"/>
        <n x="177"/>
        <n x="242" s="1"/>
      </t>
    </mdx>
    <mdx n="0" f="v">
      <t c="4" si="33">
        <n x="240"/>
        <n x="30"/>
        <n x="110"/>
        <n x="242" s="1"/>
      </t>
    </mdx>
    <mdx n="0" f="v">
      <t c="4" si="33">
        <n x="240"/>
        <n x="34"/>
        <n x="30"/>
        <n x="242" s="1"/>
      </t>
    </mdx>
    <mdx n="0" f="v">
      <t c="5" si="33">
        <n x="240"/>
        <n x="30"/>
        <n x="14"/>
        <n x="34"/>
        <n x="242" s="1"/>
      </t>
    </mdx>
    <mdx n="0" f="v">
      <t c="4" si="33">
        <n x="241"/>
        <n x="32"/>
        <n x="194"/>
        <n x="242" s="1"/>
      </t>
    </mdx>
    <mdx n="0" f="v">
      <t c="4" si="33">
        <n x="240"/>
        <n x="180"/>
        <n x="32"/>
        <n x="242" s="1"/>
      </t>
    </mdx>
    <mdx n="0" f="v">
      <t c="4" si="33">
        <n x="241"/>
        <n x="30"/>
        <n x="36"/>
        <n x="242" s="1"/>
      </t>
    </mdx>
    <mdx n="0" f="v">
      <t c="4" si="29">
        <n x="241"/>
        <n x="17"/>
        <n x="193"/>
        <n x="242" s="1"/>
      </t>
    </mdx>
    <mdx n="0" f="v">
      <t c="5" si="29">
        <n x="240"/>
        <n x="17"/>
        <n x="19"/>
        <n x="7"/>
        <n x="242" s="1"/>
      </t>
    </mdx>
    <mdx n="0" f="v">
      <t c="4" si="29">
        <n x="240"/>
        <n x="31"/>
        <n x="196"/>
        <n x="242" s="1"/>
      </t>
    </mdx>
    <mdx n="0" f="v">
      <t c="4" si="33">
        <n x="241"/>
        <n x="32"/>
        <n x="84"/>
        <n x="242" s="1"/>
      </t>
    </mdx>
    <mdx n="0" f="v">
      <t c="4" si="33">
        <n x="240"/>
        <n x="32"/>
        <n x="122"/>
        <n x="242" s="1"/>
      </t>
    </mdx>
    <mdx n="0" f="v">
      <t c="4" si="33">
        <n x="240"/>
        <n x="32"/>
        <n x="154"/>
        <n x="242" s="1"/>
      </t>
    </mdx>
    <mdx n="0" f="v">
      <t c="4" si="33">
        <n x="241"/>
        <n x="30"/>
        <n x="169"/>
        <n x="242" s="1"/>
      </t>
    </mdx>
    <mdx n="0" f="v">
      <t c="4" si="29">
        <n x="241"/>
        <n x="31"/>
        <n x="122"/>
        <n x="242" s="1"/>
      </t>
    </mdx>
    <mdx n="0" f="v">
      <t c="4" si="33">
        <n x="240"/>
        <n x="32"/>
        <n x="120"/>
        <n x="242" s="1"/>
      </t>
    </mdx>
    <mdx n="0" f="v">
      <t c="4" si="29">
        <n x="241"/>
        <n x="31"/>
        <n x="120"/>
        <n x="242" s="1"/>
      </t>
    </mdx>
    <mdx n="0" f="v">
      <t c="4" si="33">
        <n x="240"/>
        <n x="30"/>
        <n x="162"/>
        <n x="242" s="1"/>
      </t>
    </mdx>
    <mdx n="0" f="v">
      <t c="4" si="33">
        <n x="241"/>
        <n x="32"/>
        <n x="174"/>
        <n x="242" s="1"/>
      </t>
    </mdx>
    <mdx n="0" f="v">
      <t c="4" si="33">
        <n x="241"/>
        <n x="30"/>
        <n x="100"/>
        <n x="242" s="1"/>
      </t>
    </mdx>
    <mdx n="0" f="v">
      <t c="5" si="29">
        <n x="240"/>
        <n x="17"/>
        <n x="16"/>
        <n x="28"/>
        <n x="242" s="1"/>
      </t>
    </mdx>
    <mdx n="0" f="v">
      <t c="4" si="29">
        <n x="240"/>
        <n x="17"/>
        <n x="200"/>
        <n x="242" s="1"/>
      </t>
    </mdx>
    <mdx n="0" f="v">
      <t c="4" si="29">
        <n x="241"/>
        <n x="17"/>
        <n x="158"/>
        <n x="242" s="1"/>
      </t>
    </mdx>
    <mdx n="0" f="v">
      <t c="4" si="29">
        <n x="240"/>
        <n x="17"/>
        <n x="176"/>
        <n x="242" s="1"/>
      </t>
    </mdx>
    <mdx n="0" f="v">
      <t c="4" si="29">
        <n x="241"/>
        <n x="31"/>
        <n x="133"/>
        <n x="242" s="1"/>
      </t>
    </mdx>
    <mdx n="0" f="v">
      <t c="4" si="29">
        <n x="241"/>
        <n x="31"/>
        <n x="146"/>
        <n x="242" s="1"/>
      </t>
    </mdx>
    <mdx n="0" f="v">
      <t c="4" si="29">
        <n x="240"/>
        <n x="31"/>
        <n x="187"/>
        <n x="242" s="1"/>
      </t>
    </mdx>
    <mdx n="0" f="v">
      <t c="4" si="29">
        <n x="240"/>
        <n x="31"/>
        <n x="136"/>
        <n x="242" s="1"/>
      </t>
    </mdx>
    <mdx n="0" f="v">
      <t c="4" si="33">
        <n x="241"/>
        <n x="32"/>
        <n x="93"/>
        <n x="242" s="1"/>
      </t>
    </mdx>
    <mdx n="0" f="v">
      <t c="4" si="29">
        <n x="241"/>
        <n x="17"/>
        <n x="182"/>
        <n x="242" s="1"/>
      </t>
    </mdx>
    <mdx n="0" f="v">
      <t c="4" si="29">
        <n x="241"/>
        <n x="17"/>
        <n x="92"/>
        <n x="242" s="1"/>
      </t>
    </mdx>
    <mdx n="0" f="v">
      <t c="4" si="29">
        <n x="241"/>
        <n x="31"/>
        <n x="172"/>
        <n x="242" s="1"/>
      </t>
    </mdx>
    <mdx n="0" f="v">
      <t c="4" si="33">
        <n x="240"/>
        <n x="32"/>
        <n x="179"/>
        <n x="242" s="1"/>
      </t>
    </mdx>
    <mdx n="0" f="v">
      <t c="4" si="29">
        <n x="240"/>
        <n x="17"/>
        <n x="151"/>
        <n x="242" s="1"/>
      </t>
    </mdx>
    <mdx n="0" f="v">
      <t c="4" si="29">
        <n x="241"/>
        <n x="17"/>
        <n x="166"/>
        <n x="242" s="1"/>
      </t>
    </mdx>
    <mdx n="0" f="v">
      <t c="4" si="33">
        <n x="241"/>
        <n x="32"/>
        <n x="151"/>
        <n x="242" s="1"/>
      </t>
    </mdx>
    <mdx n="0" f="v">
      <t c="4" si="33">
        <n x="240"/>
        <n x="30"/>
        <n x="53"/>
        <n x="242" s="1"/>
      </t>
    </mdx>
    <mdx n="0" f="v">
      <t c="4" si="29">
        <n x="240"/>
        <n x="17"/>
        <n x="92"/>
        <n x="242" s="1"/>
      </t>
    </mdx>
    <mdx n="0" f="v">
      <t c="4" si="29">
        <n x="240"/>
        <n x="17"/>
        <n x="117"/>
        <n x="242" s="1"/>
      </t>
    </mdx>
    <mdx n="0" f="v">
      <t c="4" si="29">
        <n x="241"/>
        <n x="31"/>
        <n x="100"/>
        <n x="242" s="1"/>
      </t>
    </mdx>
    <mdx n="0" f="v">
      <t c="4" si="33">
        <n x="241"/>
        <n x="30"/>
        <n x="116"/>
        <n x="242" s="1"/>
      </t>
    </mdx>
    <mdx n="0" f="v">
      <t c="4" si="29">
        <n x="240"/>
        <n x="31"/>
        <n x="164"/>
        <n x="242" s="1"/>
      </t>
    </mdx>
    <mdx n="0" f="v">
      <t c="4" si="29">
        <n x="241"/>
        <n x="17"/>
        <n x="164"/>
        <n x="242" s="1"/>
      </t>
    </mdx>
    <mdx n="0" f="v">
      <t c="4" si="33">
        <n x="240"/>
        <n x="30"/>
        <n x="107"/>
        <n x="242" s="1"/>
      </t>
    </mdx>
    <mdx n="0" f="v">
      <t c="5" si="29">
        <n x="240"/>
        <n x="17"/>
        <n x="22"/>
        <n x="23"/>
        <n x="242" s="1"/>
      </t>
    </mdx>
    <mdx n="0" f="v">
      <t c="5" si="29">
        <n x="240"/>
        <n x="17"/>
        <n x="16"/>
        <n x="23"/>
        <n x="242" s="1"/>
      </t>
    </mdx>
    <mdx n="0" f="v">
      <t c="4" si="33">
        <n x="241"/>
        <n x="30"/>
        <n x="95"/>
        <n x="242" s="1"/>
      </t>
    </mdx>
    <mdx n="0" f="v">
      <t c="5" si="29">
        <n x="240"/>
        <n x="17"/>
        <n x="26"/>
        <n x="28"/>
        <n x="242" s="1"/>
      </t>
    </mdx>
    <mdx n="0" f="v">
      <t c="5" si="29">
        <n x="240"/>
        <n x="17"/>
        <n x="19"/>
        <n x="23"/>
        <n x="242" s="1"/>
      </t>
    </mdx>
    <mdx n="0" f="v">
      <t c="4" si="33">
        <n x="240"/>
        <n x="32"/>
        <n x="175"/>
        <n x="242" s="1"/>
      </t>
    </mdx>
    <mdx n="0" f="v">
      <t c="4" si="29">
        <n x="241"/>
        <n x="31"/>
        <n x="85"/>
        <n x="242" s="1"/>
      </t>
    </mdx>
    <mdx n="0" f="v">
      <t c="4" si="29">
        <n x="240"/>
        <n x="17"/>
        <n x="172"/>
        <n x="242" s="1"/>
      </t>
    </mdx>
    <mdx n="0" f="v">
      <t c="4" si="33">
        <n x="240"/>
        <n x="30"/>
        <n x="175"/>
        <n x="242" s="1"/>
      </t>
    </mdx>
    <mdx n="0" f="v">
      <t c="4" si="29">
        <n x="240"/>
        <n x="17"/>
        <n x="120"/>
        <n x="242" s="1"/>
      </t>
    </mdx>
    <mdx n="0" f="v">
      <t c="4" si="33">
        <n x="240"/>
        <n x="32"/>
        <n x="155"/>
        <n x="242" s="1"/>
      </t>
    </mdx>
    <mdx n="0" f="v">
      <t c="4" si="29">
        <n x="241"/>
        <n x="17"/>
        <n x="188"/>
        <n x="242" s="1"/>
      </t>
    </mdx>
    <mdx n="0" f="v">
      <t c="4" si="29">
        <n x="240"/>
        <n x="17"/>
        <n x="180"/>
        <n x="242" s="1"/>
      </t>
    </mdx>
    <mdx n="0" f="v">
      <t c="4" si="33">
        <n x="240"/>
        <n x="38"/>
        <n x="32"/>
        <n x="242" s="1"/>
      </t>
    </mdx>
    <mdx n="0" f="v">
      <t c="4" si="33">
        <n x="240"/>
        <n x="176"/>
        <n x="30"/>
        <n x="242" s="1"/>
      </t>
    </mdx>
    <mdx n="0" f="v">
      <t c="4" si="29">
        <n x="240"/>
        <n x="17"/>
        <n x="102"/>
        <n x="242" s="1"/>
      </t>
    </mdx>
    <mdx n="0" f="v">
      <t c="5" si="29">
        <n x="240"/>
        <n x="17"/>
        <n x="18"/>
        <n x="28"/>
        <n x="242" s="1"/>
      </t>
    </mdx>
    <mdx n="0" f="v">
      <t c="5" si="29">
        <n x="240"/>
        <n x="17"/>
        <n x="15"/>
        <n x="28"/>
        <n x="242" s="1"/>
      </t>
    </mdx>
    <mdx n="0" f="v">
      <t c="4" si="29">
        <n x="240"/>
        <n x="31"/>
        <n x="118"/>
        <n x="242" s="1"/>
      </t>
    </mdx>
    <mdx n="0" f="v">
      <t c="4" si="33">
        <n x="240"/>
        <n x="32"/>
        <n x="84"/>
        <n x="242" s="1"/>
      </t>
    </mdx>
    <mdx n="0" f="v">
      <t c="4" si="33">
        <n x="240"/>
        <n x="32"/>
        <n x="180"/>
        <n x="242" s="1"/>
      </t>
    </mdx>
    <mdx n="0" f="v">
      <t c="4" si="33">
        <n x="241"/>
        <n x="30"/>
        <n x="196"/>
        <n x="242" s="1"/>
      </t>
    </mdx>
    <mdx n="0" f="v">
      <t c="4" si="29">
        <n x="240"/>
        <n x="17"/>
        <n x="154"/>
        <n x="242" s="1"/>
      </t>
    </mdx>
    <mdx n="0" f="v">
      <t c="4" si="29">
        <n x="240"/>
        <n x="17"/>
        <n x="148"/>
        <n x="242" s="1"/>
      </t>
    </mdx>
    <mdx n="0" f="v">
      <t c="4" si="29">
        <n x="240"/>
        <n x="176"/>
        <n x="17"/>
        <n x="242" s="1"/>
      </t>
    </mdx>
    <mdx n="0" f="v">
      <t c="4" si="29">
        <n x="241"/>
        <n x="31"/>
        <n x="192"/>
        <n x="242" s="1"/>
      </t>
    </mdx>
    <mdx n="0" f="v">
      <t c="5" si="33">
        <n x="240"/>
        <n x="30"/>
        <n x="10"/>
        <n x="43"/>
        <n x="242" s="1"/>
      </t>
    </mdx>
    <mdx n="0" f="v">
      <t c="5" si="33">
        <n x="240"/>
        <n x="30"/>
        <n x="11"/>
        <n x="43"/>
        <n x="242" s="1"/>
      </t>
    </mdx>
    <mdx n="0" f="v">
      <t c="4" si="33">
        <n x="241"/>
        <n x="32"/>
        <n x="125"/>
        <n x="242" s="1"/>
      </t>
    </mdx>
    <mdx n="0" f="v">
      <t c="5" si="33">
        <n x="240"/>
        <n x="30"/>
        <n x="12"/>
        <n x="34"/>
        <n x="242" s="1"/>
      </t>
    </mdx>
    <mdx n="0" f="v">
      <t c="4" si="29">
        <n x="240"/>
        <n x="17"/>
        <n x="88"/>
        <n x="242" s="1"/>
      </t>
    </mdx>
    <mdx n="0" f="v">
      <t c="4" si="29">
        <n x="240"/>
        <n x="31"/>
        <n x="123"/>
        <n x="242" s="1"/>
      </t>
    </mdx>
    <mdx n="0" f="v">
      <t c="4" si="33">
        <n x="240"/>
        <n x="30"/>
        <n x="109"/>
        <n x="242" s="1"/>
      </t>
    </mdx>
    <mdx n="0" f="v">
      <t c="4" si="29">
        <n x="240"/>
        <n x="31"/>
        <n x="147"/>
        <n x="242" s="1"/>
      </t>
    </mdx>
    <mdx n="0" f="v">
      <t c="4" si="29">
        <n x="240"/>
        <n x="17"/>
        <n x="193"/>
        <n x="242" s="1"/>
      </t>
    </mdx>
    <mdx n="0" f="v">
      <t c="5" si="29">
        <n x="240"/>
        <n x="17"/>
        <n x="2"/>
        <n x="7"/>
        <n x="242" s="1"/>
      </t>
    </mdx>
    <mdx n="0" f="v">
      <t c="4" si="29">
        <n x="241"/>
        <n x="31"/>
        <n x="132"/>
        <n x="242" s="1"/>
      </t>
    </mdx>
    <mdx n="0" f="v">
      <t c="4" si="29">
        <n x="241"/>
        <n x="31"/>
        <n x="117"/>
        <n x="242" s="1"/>
      </t>
    </mdx>
    <mdx n="0" f="v">
      <t c="4" si="33">
        <n x="241"/>
        <n x="32"/>
        <n x="197"/>
        <n x="242" s="1"/>
      </t>
    </mdx>
    <mdx n="0" f="v">
      <t c="4" si="33">
        <n x="241"/>
        <n x="32"/>
        <n x="150"/>
        <n x="242" s="1"/>
      </t>
    </mdx>
    <mdx n="0" f="v">
      <t c="4" si="33">
        <n x="240"/>
        <n x="32"/>
        <n x="185"/>
        <n x="242" s="1"/>
      </t>
    </mdx>
    <mdx n="0" f="v">
      <t c="4" si="29">
        <n x="241"/>
        <n x="31"/>
        <n x="154"/>
        <n x="242" s="1"/>
      </t>
    </mdx>
    <mdx n="0" f="v">
      <t c="4" si="33">
        <n x="240"/>
        <n x="32"/>
        <n x="94"/>
        <n x="242" s="1"/>
      </t>
    </mdx>
    <mdx n="0" f="v">
      <t c="4" si="33">
        <n x="241"/>
        <n x="30"/>
        <n x="173"/>
        <n x="242" s="1"/>
      </t>
    </mdx>
    <mdx n="0" f="v">
      <t c="4" si="33">
        <n x="240"/>
        <n x="32"/>
        <n x="118"/>
        <n x="242" s="1"/>
      </t>
    </mdx>
    <mdx n="0" f="v">
      <t c="5" si="29">
        <n x="240"/>
        <n x="17"/>
        <n x="8"/>
        <n x="28"/>
        <n x="242" s="1"/>
      </t>
    </mdx>
    <mdx n="0" f="v">
      <t c="4" si="29">
        <n x="240"/>
        <n x="182"/>
        <n x="17"/>
        <n x="242" s="1"/>
      </t>
    </mdx>
    <mdx n="0" f="v">
      <t c="4" si="29">
        <n x="241"/>
        <n x="31"/>
        <n x="97"/>
        <n x="242" s="1"/>
      </t>
    </mdx>
    <mdx n="0" f="v">
      <t c="4" si="29">
        <n x="240"/>
        <n x="17"/>
        <n x="187"/>
        <n x="242" s="1"/>
      </t>
    </mdx>
    <mdx n="0" f="v">
      <t c="4" si="29">
        <n x="241"/>
        <n x="17"/>
        <n x="154"/>
        <n x="242" s="1"/>
      </t>
    </mdx>
    <mdx n="0" f="v">
      <t c="5" si="29">
        <n x="240"/>
        <n x="17"/>
        <n x="2"/>
        <n x="28"/>
        <n x="242" s="1"/>
      </t>
    </mdx>
    <mdx n="0" f="v">
      <t c="4" si="29">
        <n x="241"/>
        <n x="31"/>
        <n x="53"/>
        <n x="242" s="1"/>
      </t>
    </mdx>
    <mdx n="0" f="v">
      <t c="4" si="29">
        <n x="240"/>
        <n x="31"/>
        <n x="144"/>
        <n x="242" s="1"/>
      </t>
    </mdx>
    <mdx n="0" f="v">
      <t c="4" si="29">
        <n x="240"/>
        <n x="31"/>
        <n x="159"/>
        <n x="242" s="1"/>
      </t>
    </mdx>
    <mdx n="0" f="v">
      <t c="4" si="29">
        <n x="241"/>
        <n x="31"/>
        <n x="164"/>
        <n x="242" s="1"/>
      </t>
    </mdx>
    <mdx n="0" f="v">
      <t c="4" si="29">
        <n x="240"/>
        <n x="17"/>
        <n x="125"/>
        <n x="242" s="1"/>
      </t>
    </mdx>
    <mdx n="0" f="v">
      <t c="4" si="33">
        <n x="240"/>
        <n x="49"/>
        <n x="30"/>
        <n x="242" s="1"/>
      </t>
    </mdx>
    <mdx n="0" f="v">
      <t c="5" si="29">
        <n x="240"/>
        <n x="17"/>
        <n x="6"/>
        <n x="7"/>
        <n x="242" s="1"/>
      </t>
    </mdx>
    <mdx n="0" f="v">
      <t c="5" si="33">
        <n x="240"/>
        <n x="30"/>
        <n x="19"/>
        <n x="35"/>
        <n x="242" s="1"/>
      </t>
    </mdx>
    <mdx n="0" f="v">
      <t c="4" si="33">
        <n x="240"/>
        <n x="50"/>
        <n x="30"/>
        <n x="242" s="1"/>
      </t>
    </mdx>
    <mdx n="0" f="v">
      <t c="4" si="29">
        <n x="241"/>
        <n x="17"/>
        <n x="146"/>
        <n x="242" s="1"/>
      </t>
    </mdx>
    <mdx n="0" f="v">
      <t c="4" si="29">
        <n x="240"/>
        <n x="17"/>
        <n x="121"/>
        <n x="242" s="1"/>
      </t>
    </mdx>
    <mdx n="0" f="v">
      <t c="4" si="33">
        <n x="241"/>
        <n x="32"/>
        <n x="137"/>
        <n x="242" s="1"/>
      </t>
    </mdx>
    <mdx n="0" f="v">
      <t c="4" si="29">
        <n x="240"/>
        <n x="46"/>
        <n x="17"/>
        <n x="242" s="1"/>
      </t>
    </mdx>
    <mdx n="0" f="v">
      <t c="4" si="29">
        <n x="241"/>
        <n x="17"/>
        <n x="86"/>
        <n x="242" s="1"/>
      </t>
    </mdx>
    <mdx n="0" f="v">
      <t c="5" si="29">
        <n x="240"/>
        <n x="17"/>
        <n x="11"/>
        <n x="23"/>
        <n x="242" s="1"/>
      </t>
    </mdx>
    <mdx n="0" f="v">
      <t c="4" si="29">
        <n x="240"/>
        <n x="17"/>
        <n x="194"/>
        <n x="242" s="1"/>
      </t>
    </mdx>
    <mdx n="0" f="v">
      <t c="4" si="29">
        <n x="240"/>
        <n x="34"/>
        <n x="17"/>
        <n x="242" s="1"/>
      </t>
    </mdx>
    <mdx n="0" f="v">
      <t c="4" si="29">
        <n x="241"/>
        <n x="17"/>
        <n x="167"/>
        <n x="242" s="1"/>
      </t>
    </mdx>
    <mdx n="0" f="v">
      <t c="4" si="29">
        <n x="241"/>
        <n x="17"/>
        <n x="85"/>
        <n x="242" s="1"/>
      </t>
    </mdx>
    <mdx n="0" f="v">
      <t c="5" si="33">
        <n x="240"/>
        <n x="30"/>
        <n x="16"/>
        <n x="43"/>
        <n x="242" s="1"/>
      </t>
    </mdx>
    <mdx n="0" f="v">
      <t c="4" si="29">
        <n x="240"/>
        <n x="43"/>
        <n x="17"/>
        <n x="242" s="1"/>
      </t>
    </mdx>
    <mdx n="0" f="v">
      <t c="4" si="29">
        <n x="240"/>
        <n x="17"/>
        <n x="197"/>
        <n x="242" s="1"/>
      </t>
    </mdx>
    <mdx n="0" f="v">
      <t c="4" si="29">
        <n x="240"/>
        <n x="17"/>
        <n x="44"/>
        <n x="242" s="1"/>
      </t>
    </mdx>
    <mdx n="0" f="v">
      <t c="4" si="29">
        <n x="240"/>
        <n x="17"/>
        <n x="177"/>
        <n x="242" s="1"/>
      </t>
    </mdx>
    <mdx n="0" f="v">
      <t c="4" si="33">
        <n x="241"/>
        <n x="30"/>
        <n x="108"/>
        <n x="242" s="1"/>
      </t>
    </mdx>
    <mdx n="0" f="v">
      <t c="4" si="33">
        <n x="240"/>
        <n x="35"/>
        <n x="30"/>
        <n x="242" s="1"/>
      </t>
    </mdx>
    <mdx n="0" f="v">
      <t c="4" si="33">
        <n x="241"/>
        <n x="30"/>
        <n x="161"/>
        <n x="242" s="1"/>
      </t>
    </mdx>
    <mdx n="0" f="v">
      <t c="4" si="29">
        <n x="240"/>
        <n x="180"/>
        <n x="17"/>
        <n x="242" s="1"/>
      </t>
    </mdx>
    <mdx n="0" f="v">
      <t c="4" si="33">
        <n x="241"/>
        <n x="32"/>
        <n x="173"/>
        <n x="242" s="1"/>
      </t>
    </mdx>
    <mdx n="0" f="v">
      <t c="4" si="29">
        <n x="240"/>
        <n x="31"/>
        <n x="120"/>
        <n x="242" s="1"/>
      </t>
    </mdx>
    <mdx n="0" f="v">
      <t c="4" si="29">
        <n x="240"/>
        <n x="17"/>
        <n x="163"/>
        <n x="242" s="1"/>
      </t>
    </mdx>
    <mdx n="0" f="v">
      <t c="4" si="29">
        <n x="241"/>
        <n x="31"/>
        <n x="130"/>
        <n x="242" s="1"/>
      </t>
    </mdx>
    <mdx n="0" f="v">
      <t c="4" si="29">
        <n x="241"/>
        <n x="17"/>
        <n x="195"/>
        <n x="242" s="1"/>
      </t>
    </mdx>
    <mdx n="0" f="v">
      <t c="4" si="29">
        <n x="240"/>
        <n x="31"/>
        <n x="165"/>
        <n x="242" s="1"/>
      </t>
    </mdx>
    <mdx n="0" f="v">
      <t c="4" si="33">
        <n x="241"/>
        <n x="30"/>
        <n x="190"/>
        <n x="242" s="1"/>
      </t>
    </mdx>
    <mdx n="0" f="v">
      <t c="5" si="29">
        <n x="240"/>
        <n x="17"/>
        <n x="12"/>
        <n x="28"/>
        <n x="242" s="1"/>
      </t>
    </mdx>
    <mdx n="0" f="v">
      <t c="4" si="33">
        <n x="240"/>
        <n x="32"/>
        <n x="106"/>
        <n x="242" s="1"/>
      </t>
    </mdx>
    <mdx n="0" f="v">
      <t c="4" si="29">
        <n x="241"/>
        <n x="17"/>
        <n x="159"/>
        <n x="242" s="1"/>
      </t>
    </mdx>
    <mdx n="0" f="v">
      <t c="5" si="33">
        <n x="240"/>
        <n x="30"/>
        <n x="27"/>
        <n x="43"/>
        <n x="242" s="1"/>
      </t>
    </mdx>
    <mdx n="0" f="v">
      <t c="4" si="29">
        <n x="240"/>
        <n x="31"/>
        <n x="130"/>
        <n x="242" s="1"/>
      </t>
    </mdx>
    <mdx n="0" f="v">
      <t c="4" si="29">
        <n x="240"/>
        <n x="17"/>
        <n x="127"/>
        <n x="242" s="1"/>
      </t>
    </mdx>
    <mdx n="0" f="v">
      <t c="4" si="33">
        <n x="241"/>
        <n x="30"/>
        <n x="166"/>
        <n x="242" s="1"/>
      </t>
    </mdx>
    <mdx n="0" f="v">
      <t c="4" si="33">
        <n x="241"/>
        <n x="30"/>
        <n x="45"/>
        <n x="242" s="1"/>
      </t>
    </mdx>
    <mdx n="0" f="v">
      <t c="4" si="33">
        <n x="240"/>
        <n x="45"/>
        <n x="32"/>
        <n x="242" s="1"/>
      </t>
    </mdx>
    <mdx n="0" f="v">
      <t c="4" si="33">
        <n x="241"/>
        <n x="30"/>
        <n x="193"/>
        <n x="242" s="1"/>
      </t>
    </mdx>
    <mdx n="0" f="v">
      <t c="4" si="29">
        <n x="241"/>
        <n x="31"/>
        <n x="134"/>
        <n x="242" s="1"/>
      </t>
    </mdx>
    <mdx n="0" f="v">
      <t c="4" si="33">
        <n x="241"/>
        <n x="32"/>
        <n x="114"/>
        <n x="242" s="1"/>
      </t>
    </mdx>
    <mdx n="0" f="v">
      <t c="4" si="33">
        <n x="241"/>
        <n x="32"/>
        <n x="178"/>
        <n x="242" s="1"/>
      </t>
    </mdx>
    <mdx n="0" f="v">
      <t c="4" si="33">
        <n x="240"/>
        <n x="30"/>
        <n x="93"/>
        <n x="242" s="1"/>
      </t>
    </mdx>
    <mdx n="0" f="v">
      <t c="4" si="29">
        <n x="240"/>
        <n x="31"/>
        <n x="119"/>
        <n x="242" s="1"/>
      </t>
    </mdx>
    <mdx n="0" f="v">
      <t c="4" si="33">
        <n x="241"/>
        <n x="32"/>
        <n x="135"/>
        <n x="242" s="1"/>
      </t>
    </mdx>
    <mdx n="0" f="v">
      <t c="4" si="29">
        <n x="241"/>
        <n x="31"/>
        <n x="129"/>
        <n x="242" s="1"/>
      </t>
    </mdx>
    <mdx n="0" f="v">
      <t c="4" si="33">
        <n x="240"/>
        <n x="41"/>
        <n x="30"/>
        <n x="242" s="1"/>
      </t>
    </mdx>
    <mdx n="0" f="v">
      <t c="4" si="29">
        <n x="241"/>
        <n x="31"/>
        <n x="147"/>
        <n x="242" s="1"/>
      </t>
    </mdx>
    <mdx n="0" f="v">
      <t c="4" si="33">
        <n x="241"/>
        <n x="32"/>
        <n x="189"/>
        <n x="242" s="1"/>
      </t>
    </mdx>
    <mdx n="0" f="v">
      <t c="4" si="33">
        <n x="240"/>
        <n x="32"/>
        <n x="190"/>
        <n x="242" s="1"/>
      </t>
    </mdx>
    <mdx n="0" f="v">
      <t c="4" si="33">
        <n x="240"/>
        <n x="45"/>
        <n x="30"/>
        <n x="242" s="1"/>
      </t>
    </mdx>
    <mdx n="0" f="v">
      <t c="4" si="33">
        <n x="241"/>
        <n x="32"/>
        <n x="85"/>
        <n x="242" s="1"/>
      </t>
    </mdx>
    <mdx n="0" f="v">
      <t c="4" si="33">
        <n x="240"/>
        <n x="30"/>
        <n x="105"/>
        <n x="242" s="1"/>
      </t>
    </mdx>
    <mdx n="0" f="v">
      <t c="5" si="33">
        <n x="240"/>
        <n x="30"/>
        <n x="22"/>
        <n x="34"/>
        <n x="242" s="1"/>
      </t>
    </mdx>
    <mdx n="0" f="v">
      <t c="4" si="33">
        <n x="240"/>
        <n x="32"/>
        <n x="86"/>
        <n x="242" s="1"/>
      </t>
    </mdx>
    <mdx n="0" f="v">
      <t c="4" si="33">
        <n x="240"/>
        <n x="30"/>
        <n x="50"/>
        <n x="242" s="1"/>
      </t>
    </mdx>
    <mdx n="0" f="v">
      <t c="4" si="33">
        <n x="240"/>
        <n x="32"/>
        <n x="192"/>
        <n x="242" s="1"/>
      </t>
    </mdx>
    <mdx n="0" f="v">
      <t c="4" si="33">
        <n x="241"/>
        <n x="32"/>
        <n x="163"/>
        <n x="242" s="1"/>
      </t>
    </mdx>
    <mdx n="0" f="v">
      <t c="4" si="33">
        <n x="241"/>
        <n x="30"/>
        <n x="50"/>
        <n x="242" s="1"/>
      </t>
    </mdx>
    <mdx n="0" f="v">
      <t c="5" si="29">
        <n x="240"/>
        <n x="17"/>
        <n x="12"/>
        <n x="23"/>
        <n x="242" s="1"/>
      </t>
    </mdx>
    <mdx n="0" f="v">
      <t c="5" si="33">
        <n x="240"/>
        <n x="30"/>
        <n x="11"/>
        <n x="34"/>
        <n x="242" s="1"/>
      </t>
    </mdx>
    <mdx n="0" f="v">
      <t c="5" si="33">
        <n x="240"/>
        <n x="30"/>
        <n x="25"/>
        <n x="43"/>
        <n x="242" s="1"/>
      </t>
    </mdx>
    <mdx n="0" f="v">
      <t c="4" si="33">
        <n x="240"/>
        <n x="30"/>
        <n x="149"/>
        <n x="242" s="1"/>
      </t>
    </mdx>
    <mdx n="0" f="v">
      <t c="4" si="29">
        <n x="240"/>
        <n x="17"/>
        <n x="40"/>
        <n x="242" s="1"/>
      </t>
    </mdx>
    <mdx n="0" f="v">
      <t c="5" si="29">
        <n x="240"/>
        <n x="17"/>
        <n x="14"/>
        <n x="28"/>
        <n x="242" s="1"/>
      </t>
    </mdx>
    <mdx n="0" f="v">
      <t c="4" si="29">
        <n x="240"/>
        <n x="39"/>
        <n x="17"/>
        <n x="242" s="1"/>
      </t>
    </mdx>
    <mdx n="0" f="v">
      <t c="4" si="33">
        <n x="241"/>
        <n x="30"/>
        <n x="143"/>
        <n x="242" s="1"/>
      </t>
    </mdx>
    <mdx n="0" f="v">
      <t c="5" si="29">
        <n x="240"/>
        <n x="17"/>
        <n x="14"/>
        <n x="23"/>
        <n x="242" s="1"/>
      </t>
    </mdx>
    <mdx n="0" f="v">
      <t c="5" si="33">
        <n x="240"/>
        <n x="30"/>
        <n x="27"/>
        <n x="34"/>
        <n x="242" s="1"/>
      </t>
    </mdx>
    <mdx n="0" f="v">
      <t c="4" si="33">
        <n x="240"/>
        <n x="30"/>
        <n x="102"/>
        <n x="242" s="1"/>
      </t>
    </mdx>
    <mdx n="0" f="v">
      <t c="4" si="29">
        <n x="240"/>
        <n x="17"/>
        <n x="103"/>
        <n x="242" s="1"/>
      </t>
    </mdx>
    <mdx n="0" f="v">
      <t c="4" si="33">
        <n x="241"/>
        <n x="30"/>
        <n x="150"/>
        <n x="242" s="1"/>
      </t>
    </mdx>
    <mdx n="0" f="v">
      <t c="4" si="33">
        <n x="241"/>
        <n x="30"/>
        <n x="154"/>
        <n x="242" s="1"/>
      </t>
    </mdx>
    <mdx n="0" f="v">
      <t c="4" si="33">
        <n x="240"/>
        <n x="42"/>
        <n x="32"/>
        <n x="242" s="1"/>
      </t>
    </mdx>
    <mdx n="0" f="v">
      <t c="4" si="33">
        <n x="240"/>
        <n x="30"/>
        <n x="44"/>
        <n x="242" s="1"/>
      </t>
    </mdx>
    <mdx n="0" f="v">
      <t c="4" si="33">
        <n x="240"/>
        <n x="32"/>
        <n x="102"/>
        <n x="242" s="1"/>
      </t>
    </mdx>
    <mdx n="0" f="v">
      <t c="4" si="33">
        <n x="240"/>
        <n x="32"/>
        <n x="178"/>
        <n x="242" s="1"/>
      </t>
    </mdx>
    <mdx n="0" f="v">
      <t c="4" si="33">
        <n x="240"/>
        <n x="30"/>
        <n x="49"/>
        <n x="242" s="1"/>
      </t>
    </mdx>
    <mdx n="0" f="v">
      <t c="4" si="33">
        <n x="240"/>
        <n x="32"/>
        <n x="144"/>
        <n x="242" s="1"/>
      </t>
    </mdx>
    <mdx n="0" f="v">
      <t c="4" si="33">
        <n x="241"/>
        <n x="32"/>
        <n x="121"/>
        <n x="242" s="1"/>
      </t>
    </mdx>
    <mdx n="0" f="v">
      <t c="5" si="29">
        <n x="240"/>
        <n x="17"/>
        <n x="25"/>
        <n x="23"/>
        <n x="242" s="1"/>
      </t>
    </mdx>
    <mdx n="0" f="v">
      <t c="4" si="33">
        <n x="240"/>
        <n x="39"/>
        <n x="30"/>
        <n x="242" s="1"/>
      </t>
    </mdx>
    <mdx n="0" f="v">
      <t c="4" si="29">
        <n x="241"/>
        <n x="31"/>
        <n x="152"/>
        <n x="242" s="1"/>
      </t>
    </mdx>
    <mdx n="0" f="v">
      <t c="4" si="29">
        <n x="241"/>
        <n x="17"/>
        <n x="163"/>
        <n x="242" s="1"/>
      </t>
    </mdx>
    <mdx n="0" f="v">
      <t c="4" si="29">
        <n x="240"/>
        <n x="17"/>
        <n x="49"/>
        <n x="242" s="1"/>
      </t>
    </mdx>
    <mdx n="0" f="v">
      <t c="4" si="33">
        <n x="240"/>
        <n x="47"/>
        <n x="32"/>
        <n x="242" s="1"/>
      </t>
    </mdx>
    <mdx n="0" f="v">
      <t c="4" si="29">
        <n x="241"/>
        <n x="17"/>
        <n x="89"/>
        <n x="242" s="1"/>
      </t>
    </mdx>
    <mdx n="0" f="v">
      <t c="4" si="29">
        <n x="240"/>
        <n x="17"/>
        <n x="150"/>
        <n x="242" s="1"/>
      </t>
    </mdx>
    <mdx n="0" f="v">
      <t c="4" si="33">
        <n x="241"/>
        <n x="30"/>
        <n x="104"/>
        <n x="242" s="1"/>
      </t>
    </mdx>
    <mdx n="0" f="v">
      <t c="4" si="33">
        <n x="241"/>
        <n x="30"/>
        <n x="164"/>
        <n x="242" s="1"/>
      </t>
    </mdx>
    <mdx n="0" f="v">
      <t c="4" si="29">
        <n x="240"/>
        <n x="17"/>
        <n x="122"/>
        <n x="242" s="1"/>
      </t>
    </mdx>
    <mdx n="0" f="v">
      <t c="5" si="33">
        <n x="240"/>
        <n x="30"/>
        <n x="203"/>
        <n x="35"/>
        <n x="242" s="1"/>
      </t>
    </mdx>
    <mdx n="0" f="v">
      <t c="5" si="33">
        <n x="240"/>
        <n x="30"/>
        <n x="21"/>
        <n x="43"/>
        <n x="242" s="1"/>
      </t>
    </mdx>
    <mdx n="0" f="v">
      <t c="5" si="33">
        <n x="240"/>
        <n x="30"/>
        <n x="22"/>
        <n x="43"/>
        <n x="242" s="1"/>
      </t>
    </mdx>
    <mdx n="0" f="v">
      <t c="4" si="33">
        <n x="241"/>
        <n x="30"/>
        <n x="121"/>
        <n x="242" s="1"/>
      </t>
    </mdx>
    <mdx n="0" f="v">
      <t c="4" si="33">
        <n x="241"/>
        <n x="32"/>
        <n x="176"/>
        <n x="242" s="1"/>
      </t>
    </mdx>
    <mdx n="0" f="v">
      <t c="4" si="33">
        <n x="240"/>
        <n x="35"/>
        <n x="32"/>
        <n x="242" s="1"/>
      </t>
    </mdx>
    <mdx n="0" f="v">
      <t c="4" si="33">
        <n x="241"/>
        <n x="30"/>
        <n x="127"/>
        <n x="242" s="1"/>
      </t>
    </mdx>
    <mdx n="0" f="v">
      <t c="4" si="29">
        <n x="240"/>
        <n x="17"/>
        <n x="192"/>
        <n x="242" s="1"/>
      </t>
    </mdx>
    <mdx n="0" f="v">
      <t c="4" si="29">
        <n x="240"/>
        <n x="31"/>
        <n x="103"/>
        <n x="242" s="1"/>
      </t>
    </mdx>
    <mdx n="0" f="v">
      <t c="5" si="33">
        <n x="240"/>
        <n x="30"/>
        <n x="202"/>
        <n x="34"/>
        <n x="242" s="1"/>
      </t>
    </mdx>
    <mdx n="0" f="v">
      <t c="4" si="33">
        <n x="241"/>
        <n x="32"/>
        <n x="193"/>
        <n x="242" s="1"/>
      </t>
    </mdx>
    <mdx n="0" f="v">
      <t c="5" si="29">
        <n x="240"/>
        <n x="17"/>
        <n x="5"/>
        <n x="28"/>
        <n x="242" s="1"/>
      </t>
    </mdx>
    <mdx n="0" f="v">
      <t c="5" si="33">
        <n x="240"/>
        <n x="30"/>
        <n x="15"/>
        <n x="43"/>
        <n x="242" s="1"/>
      </t>
    </mdx>
    <mdx n="0" f="v">
      <t c="4" si="29">
        <n x="241"/>
        <n x="17"/>
        <n x="189"/>
        <n x="242" s="1"/>
      </t>
    </mdx>
    <mdx n="0" f="v">
      <t c="4" si="29">
        <n x="241"/>
        <n x="31"/>
        <n x="103"/>
        <n x="242" s="1"/>
      </t>
    </mdx>
    <mdx n="0" f="v">
      <t c="4" si="29">
        <n x="240"/>
        <n x="31"/>
        <n x="198"/>
        <n x="242" s="1"/>
      </t>
    </mdx>
    <mdx n="0" f="v">
      <t c="4" si="33">
        <n x="241"/>
        <n x="32"/>
        <n x="147"/>
        <n x="242" s="1"/>
      </t>
    </mdx>
    <mdx n="0" f="v">
      <t c="4" si="33">
        <n x="241"/>
        <n x="32"/>
        <n x="188"/>
        <n x="242" s="1"/>
      </t>
    </mdx>
    <mdx n="0" f="v">
      <t c="4" si="33">
        <n x="241"/>
        <n x="32"/>
        <n x="118"/>
        <n x="242" s="1"/>
      </t>
    </mdx>
    <mdx n="0" f="v">
      <t c="4" si="29">
        <n x="241"/>
        <n x="31"/>
        <n x="125"/>
        <n x="242" s="1"/>
      </t>
    </mdx>
    <mdx n="0" f="v">
      <t c="4" si="33">
        <n x="240"/>
        <n x="30"/>
        <n x="172"/>
        <n x="242" s="1"/>
      </t>
    </mdx>
    <mdx n="0" f="v">
      <t c="4" si="33">
        <n x="240"/>
        <n x="32"/>
        <n x="142"/>
        <n x="242" s="1"/>
      </t>
    </mdx>
    <mdx n="0" f="v">
      <t c="4" si="33">
        <n x="241"/>
        <n x="30"/>
        <n x="140"/>
        <n x="242" s="1"/>
      </t>
    </mdx>
    <mdx n="0" f="v">
      <t c="4" si="29">
        <n x="241"/>
        <n x="31"/>
        <n x="180"/>
        <n x="242" s="1"/>
      </t>
    </mdx>
    <mdx n="0" f="v">
      <t c="5" si="33">
        <n x="240"/>
        <n x="30"/>
        <n x="5"/>
        <n x="43"/>
        <n x="242" s="1"/>
      </t>
    </mdx>
    <mdx n="0" f="v">
      <t c="5" si="33">
        <n x="240"/>
        <n x="30"/>
        <n x="1"/>
        <n x="34"/>
        <n x="242" s="1"/>
      </t>
    </mdx>
    <mdx n="0" f="v">
      <t c="4" si="33">
        <n x="241"/>
        <n x="32"/>
        <n x="187"/>
        <n x="242" s="1"/>
      </t>
    </mdx>
    <mdx n="0" f="v">
      <t c="4" si="29">
        <n x="241"/>
        <n x="17"/>
        <n x="105"/>
        <n x="242" s="1"/>
      </t>
    </mdx>
    <mdx n="0" f="v">
      <t c="4" si="33">
        <n x="240"/>
        <n x="32"/>
        <n x="152"/>
        <n x="242" s="1"/>
      </t>
    </mdx>
    <mdx n="0" f="v">
      <t c="4" si="33">
        <n x="240"/>
        <n x="32"/>
        <n x="49"/>
        <n x="242" s="1"/>
      </t>
    </mdx>
    <mdx n="0" f="v">
      <t c="4" si="33">
        <n x="241"/>
        <n x="32"/>
        <n x="168"/>
        <n x="242" s="1"/>
      </t>
    </mdx>
    <mdx n="0" f="v">
      <t c="4" si="33">
        <n x="241"/>
        <n x="30"/>
        <n x="117"/>
        <n x="242" s="1"/>
      </t>
    </mdx>
    <mdx n="0" f="v">
      <t c="4" si="33">
        <n x="241"/>
        <n x="30"/>
        <n x="120"/>
        <n x="242" s="1"/>
      </t>
    </mdx>
    <mdx n="0" f="v">
      <t c="4" si="29">
        <n x="241"/>
        <n x="31"/>
        <n x="187"/>
        <n x="242" s="1"/>
      </t>
    </mdx>
    <mdx n="0" f="v">
      <t c="4" si="33">
        <n x="241"/>
        <n x="32"/>
        <n x="164"/>
        <n x="242" s="1"/>
      </t>
    </mdx>
    <mdx n="0" f="v">
      <t c="4" si="29">
        <n x="240"/>
        <n x="31"/>
        <n x="138"/>
        <n x="242" s="1"/>
      </t>
    </mdx>
    <mdx n="0" f="v">
      <t c="4" si="29">
        <n x="240"/>
        <n x="31"/>
        <n x="149"/>
        <n x="242" s="1"/>
      </t>
    </mdx>
    <mdx n="0" f="v">
      <t c="4" si="33">
        <n x="240"/>
        <n x="182"/>
        <n x="32"/>
        <n x="242" s="1"/>
      </t>
    </mdx>
    <mdx n="0" f="v">
      <t c="5" si="33">
        <n x="240"/>
        <n x="30"/>
        <n x="12"/>
        <n x="43"/>
        <n x="242" s="1"/>
      </t>
    </mdx>
    <mdx n="0" f="v">
      <t c="4" si="33">
        <n x="240"/>
        <n x="32"/>
        <n x="46"/>
        <n x="242" s="1"/>
      </t>
    </mdx>
    <mdx n="0" f="v">
      <t c="4" si="33">
        <n x="240"/>
        <n x="32"/>
        <n x="172"/>
        <n x="242" s="1"/>
      </t>
    </mdx>
    <mdx n="0" f="v">
      <t c="4" si="33">
        <n x="240"/>
        <n x="32"/>
        <n x="170"/>
        <n x="242" s="1"/>
      </t>
    </mdx>
    <mdx n="0" f="v">
      <t c="4" si="33">
        <n x="240"/>
        <n x="30"/>
        <n x="155"/>
        <n x="242" s="1"/>
      </t>
    </mdx>
    <mdx n="0" f="v">
      <t c="4" si="29">
        <n x="240"/>
        <n x="17"/>
        <n x="96"/>
        <n x="242" s="1"/>
      </t>
    </mdx>
    <mdx n="0" f="v">
      <t c="4" si="33">
        <n x="241"/>
        <n x="32"/>
        <n x="145"/>
        <n x="242" s="1"/>
      </t>
    </mdx>
    <mdx n="0" f="v">
      <t c="4" si="33">
        <n x="240"/>
        <n x="30"/>
        <n x="147"/>
        <n x="242" s="1"/>
      </t>
    </mdx>
    <mdx n="0" f="v">
      <t c="4" si="33">
        <n x="241"/>
        <n x="30"/>
        <n x="162"/>
        <n x="242" s="1"/>
      </t>
    </mdx>
    <mdx n="0" f="v">
      <t c="4" si="33">
        <n x="240"/>
        <n x="54"/>
        <n x="32"/>
        <n x="242" s="1"/>
      </t>
    </mdx>
    <mdx n="0" f="v">
      <t c="4" si="29">
        <n x="241"/>
        <n x="31"/>
        <n x="140"/>
        <n x="242" s="1"/>
      </t>
    </mdx>
    <mdx n="0" f="v">
      <t c="4" si="29">
        <n x="240"/>
        <n x="17"/>
        <n x="175"/>
        <n x="242" s="1"/>
      </t>
    </mdx>
    <mdx n="0" f="v">
      <t c="5" si="33">
        <n x="240"/>
        <n x="30"/>
        <n x="6"/>
        <n x="43"/>
        <n x="242" s="1"/>
      </t>
    </mdx>
    <mdx n="0" f="v">
      <t c="5" si="33">
        <n x="240"/>
        <n x="30"/>
        <n x="13"/>
        <n x="34"/>
        <n x="242" s="1"/>
      </t>
    </mdx>
    <mdx n="0" f="v">
      <t c="4" si="29">
        <n x="241"/>
        <n x="17"/>
        <n x="131"/>
        <n x="242" s="1"/>
      </t>
    </mdx>
    <mdx n="0" f="v">
      <t c="4" si="29">
        <n x="240"/>
        <n x="31"/>
        <n x="127"/>
        <n x="242" s="1"/>
      </t>
    </mdx>
    <mdx n="0" f="v">
      <t c="5" si="33">
        <n x="240"/>
        <n x="30"/>
        <n x="25"/>
        <n x="35"/>
        <n x="242" s="1"/>
      </t>
    </mdx>
    <mdx n="0" f="v">
      <t c="4" si="29">
        <n x="241"/>
        <n x="17"/>
        <n x="168"/>
        <n x="242" s="1"/>
      </t>
    </mdx>
    <mdx n="0" f="v">
      <t c="4" si="33">
        <n x="240"/>
        <n x="30"/>
        <n x="201"/>
        <n x="242" s="1"/>
      </t>
    </mdx>
    <mdx n="0" f="v">
      <t c="4" si="33">
        <n x="241"/>
        <n x="30"/>
        <n x="144"/>
        <n x="242" s="1"/>
      </t>
    </mdx>
    <mdx n="0" f="v">
      <t c="4" si="29">
        <n x="240"/>
        <n x="31"/>
        <n x="137"/>
        <n x="242" s="1"/>
      </t>
    </mdx>
    <mdx n="0" f="v">
      <t c="4" si="29">
        <n x="240"/>
        <n x="17"/>
        <n x="184"/>
        <n x="242" s="1"/>
      </t>
    </mdx>
    <mdx n="0" f="v">
      <t c="4" si="29">
        <n x="241"/>
        <n x="31"/>
        <n x="168"/>
        <n x="242" s="1"/>
      </t>
    </mdx>
    <mdx n="0" f="v">
      <t c="4" si="33">
        <n x="240"/>
        <n x="32"/>
        <n x="163"/>
        <n x="242" s="1"/>
      </t>
    </mdx>
    <mdx n="0" f="v">
      <t c="4" si="29">
        <n x="240"/>
        <n x="31"/>
        <n x="86"/>
        <n x="242" s="1"/>
      </t>
    </mdx>
    <mdx n="0" f="v">
      <t c="5" si="33">
        <n x="240"/>
        <n x="30"/>
        <n x="20"/>
        <n x="34"/>
        <n x="242" s="1"/>
      </t>
    </mdx>
    <mdx n="0" f="v">
      <t c="4" si="29">
        <n x="241"/>
        <n x="31"/>
        <n x="175"/>
        <n x="242" s="1"/>
      </t>
    </mdx>
    <mdx n="0" f="v">
      <t c="4" si="33">
        <n x="241"/>
        <n x="32"/>
        <n x="40"/>
        <n x="242" s="1"/>
      </t>
    </mdx>
    <mdx n="0" f="v">
      <t c="4" si="29">
        <n x="240"/>
        <n x="31"/>
        <n x="186"/>
        <n x="242" s="1"/>
      </t>
    </mdx>
    <mdx n="0" f="v">
      <t c="4" si="33">
        <n x="240"/>
        <n x="30"/>
        <n x="132"/>
        <n x="242" s="1"/>
      </t>
    </mdx>
    <mdx n="0" f="v">
      <t c="4" si="29">
        <n x="240"/>
        <n x="31"/>
        <n x="53"/>
        <n x="242" s="1"/>
      </t>
    </mdx>
    <mdx n="0" f="v">
      <t c="4" si="29">
        <n x="240"/>
        <n x="17"/>
        <n x="118"/>
        <n x="242" s="1"/>
      </t>
    </mdx>
    <mdx n="0" f="v">
      <t c="4" si="33">
        <n x="240"/>
        <n x="30"/>
        <n x="145"/>
        <n x="242" s="1"/>
      </t>
    </mdx>
    <mdx n="0" f="v">
      <t c="4" si="33">
        <n x="241"/>
        <n x="30"/>
        <n x="174"/>
        <n x="242" s="1"/>
      </t>
    </mdx>
    <mdx n="0" f="v">
      <t c="4" si="33">
        <n x="240"/>
        <n x="30"/>
        <n x="130"/>
        <n x="242" s="1"/>
      </t>
    </mdx>
    <mdx n="0" f="v">
      <t c="4" si="29">
        <n x="241"/>
        <n x="31"/>
        <n x="99"/>
        <n x="242" s="1"/>
      </t>
    </mdx>
    <mdx n="0" f="v">
      <t c="4" si="29">
        <n x="240"/>
        <n x="31"/>
        <n x="148"/>
        <n x="242" s="1"/>
      </t>
    </mdx>
    <mdx n="0" f="v">
      <t c="4" si="29">
        <n x="241"/>
        <n x="17"/>
        <n x="155"/>
        <n x="242" s="1"/>
      </t>
    </mdx>
    <mdx n="0" f="v">
      <t c="4" si="33">
        <n x="241"/>
        <n x="32"/>
        <n x="170"/>
        <n x="242" s="1"/>
      </t>
    </mdx>
    <mdx n="0" f="v">
      <t c="4" si="29">
        <n x="241"/>
        <n x="31"/>
        <n x="163"/>
        <n x="242" s="1"/>
      </t>
    </mdx>
    <mdx n="0" f="v">
      <t c="4" si="29">
        <n x="240"/>
        <n x="31"/>
        <n x="99"/>
        <n x="242" s="1"/>
      </t>
    </mdx>
    <mdx n="0" f="v">
      <t c="4" si="33">
        <n x="241"/>
        <n x="30"/>
        <n x="151"/>
        <n x="242" s="1"/>
      </t>
    </mdx>
    <mdx n="0" f="v">
      <t c="4" si="33">
        <n x="240"/>
        <n x="32"/>
        <n x="146"/>
        <n x="242" s="1"/>
      </t>
    </mdx>
    <mdx n="0" f="v">
      <t c="4" si="29">
        <n x="241"/>
        <n x="17"/>
        <n x="148"/>
        <n x="242" s="1"/>
      </t>
    </mdx>
    <mdx n="0" f="v">
      <t c="4" si="33">
        <n x="241"/>
        <n x="30"/>
        <n x="142"/>
        <n x="242" s="1"/>
      </t>
    </mdx>
    <mdx n="0" f="v">
      <t c="4" si="33">
        <n x="241"/>
        <n x="32"/>
        <n x="157"/>
        <n x="242" s="1"/>
      </t>
    </mdx>
    <mdx n="0" f="v">
      <t c="4" si="29">
        <n x="240"/>
        <n x="31"/>
        <n x="52"/>
        <n x="242" s="1"/>
      </t>
    </mdx>
    <mdx n="0" f="v">
      <t c="4" si="29">
        <n x="240"/>
        <n x="31"/>
        <n x="131"/>
        <n x="242" s="1"/>
      </t>
    </mdx>
    <mdx n="0" f="v">
      <t c="4" si="29">
        <n x="240"/>
        <n x="31"/>
        <n x="184"/>
        <n x="242" s="1"/>
      </t>
    </mdx>
    <mdx n="0" f="v">
      <t c="4" si="29">
        <n x="241"/>
        <n x="17"/>
        <n x="137"/>
        <n x="242" s="1"/>
      </t>
    </mdx>
    <mdx n="0" f="v">
      <t c="4" si="33">
        <n x="240"/>
        <n x="30"/>
        <n x="197"/>
        <n x="242" s="1"/>
      </t>
    </mdx>
    <mdx n="0" f="v">
      <t c="4" si="33">
        <n x="241"/>
        <n x="32"/>
        <n x="116"/>
        <n x="242" s="1"/>
      </t>
    </mdx>
    <mdx n="0" f="v">
      <t c="4" si="29">
        <n x="240"/>
        <n x="31"/>
        <n x="98"/>
        <n x="242" s="1"/>
      </t>
    </mdx>
    <mdx n="0" f="v">
      <t c="4" si="29">
        <n x="240"/>
        <n x="17"/>
        <n x="185"/>
        <n x="242" s="1"/>
      </t>
    </mdx>
    <mdx n="0" f="v">
      <t c="4" si="29">
        <n x="240"/>
        <n x="31"/>
        <n x="201"/>
        <n x="242" s="1"/>
      </t>
    </mdx>
    <mdx n="0" f="v">
      <t c="4" si="29">
        <n x="241"/>
        <n x="17"/>
        <n x="114"/>
        <n x="242" s="1"/>
      </t>
    </mdx>
    <mdx n="0" f="v">
      <t c="4" si="33">
        <n x="240"/>
        <n x="30"/>
        <n x="115"/>
        <n x="242" s="1"/>
      </t>
    </mdx>
    <mdx n="0" f="v">
      <t c="4" si="33">
        <n x="240"/>
        <n x="32"/>
        <n x="101"/>
        <n x="242" s="1"/>
      </t>
    </mdx>
    <mdx n="0" f="v">
      <t c="4" si="33">
        <n x="240"/>
        <n x="30"/>
        <n x="194"/>
        <n x="242" s="1"/>
      </t>
    </mdx>
    <mdx n="0" f="v">
      <t c="4" si="29">
        <n x="240"/>
        <n x="17"/>
        <n x="181"/>
        <n x="242" s="1"/>
      </t>
    </mdx>
    <mdx n="0" f="v">
      <t c="4" si="29">
        <n x="241"/>
        <n x="31"/>
        <n x="170"/>
        <n x="242" s="1"/>
      </t>
    </mdx>
    <mdx n="0" f="v">
      <t c="4" si="33">
        <n x="241"/>
        <n x="32"/>
        <n x="97"/>
        <n x="242" s="1"/>
      </t>
    </mdx>
    <mdx n="0" f="v">
      <t c="4" si="33">
        <n x="241"/>
        <n x="32"/>
        <n x="165"/>
        <n x="242" s="1"/>
      </t>
    </mdx>
    <mdx n="0" f="v">
      <t c="4" si="33">
        <n x="240"/>
        <n x="32"/>
        <n x="160"/>
        <n x="242" s="1"/>
      </t>
    </mdx>
    <mdx n="0" f="v">
      <t c="4" si="29">
        <n x="241"/>
        <n x="17"/>
        <n x="52"/>
        <n x="242" s="1"/>
      </t>
    </mdx>
    <mdx n="0" f="v">
      <t c="4" si="29">
        <n x="240"/>
        <n x="17"/>
        <n x="138"/>
        <n x="242" s="1"/>
      </t>
    </mdx>
    <mdx n="0" f="v">
      <t c="4" si="29">
        <n x="240"/>
        <n x="31"/>
        <n x="185"/>
        <n x="242" s="1"/>
      </t>
    </mdx>
    <mdx n="0" f="v">
      <t c="4" si="33">
        <n x="241"/>
        <n x="32"/>
        <n x="117"/>
        <n x="242" s="1"/>
      </t>
    </mdx>
    <mdx n="0" f="v">
      <t c="4" si="29">
        <n x="241"/>
        <n x="31"/>
        <n x="37"/>
        <n x="242" s="1"/>
      </t>
    </mdx>
    <mdx n="0" f="v">
      <t c="4" si="33">
        <n x="241"/>
        <n x="32"/>
        <n x="136"/>
        <n x="242" s="1"/>
      </t>
    </mdx>
    <mdx n="0" f="v">
      <t c="4" si="33">
        <n x="241"/>
        <n x="30"/>
        <n x="160"/>
        <n x="242" s="1"/>
      </t>
    </mdx>
    <mdx n="0" f="v">
      <t c="4" si="33">
        <n x="241"/>
        <n x="32"/>
        <n x="138"/>
        <n x="242" s="1"/>
      </t>
    </mdx>
    <mdx n="0" f="v">
      <t c="4" si="29">
        <n x="241"/>
        <n x="31"/>
        <n x="174"/>
        <n x="242" s="1"/>
      </t>
    </mdx>
    <mdx n="0" f="v">
      <t c="4" si="33">
        <n x="241"/>
        <n x="30"/>
        <n x="148"/>
        <n x="242" s="1"/>
      </t>
    </mdx>
    <mdx n="0" f="v">
      <t c="4" si="33">
        <n x="240"/>
        <n x="32"/>
        <n x="52"/>
        <n x="242" s="1"/>
      </t>
    </mdx>
    <mdx n="0" f="v">
      <t c="4" si="33">
        <n x="241"/>
        <n x="32"/>
        <n x="184"/>
        <n x="242" s="1"/>
      </t>
    </mdx>
    <mdx n="0" f="v">
      <t c="4" si="33">
        <n x="240"/>
        <n x="30"/>
        <n x="101"/>
        <n x="242" s="1"/>
      </t>
    </mdx>
    <mdx n="0" f="v">
      <t c="4" si="33">
        <n x="241"/>
        <n x="32"/>
        <n x="153"/>
        <n x="242" s="1"/>
      </t>
    </mdx>
    <mdx n="0" f="v">
      <t c="4" si="29">
        <n x="241"/>
        <n x="17"/>
        <n x="88"/>
        <n x="242" s="1"/>
      </t>
    </mdx>
    <mdx n="0" f="v">
      <t c="4" si="33">
        <n x="240"/>
        <n x="30"/>
        <n x="96"/>
        <n x="242" s="1"/>
      </t>
    </mdx>
    <mdx n="0" f="v">
      <t c="4" si="33">
        <n x="241"/>
        <n x="30"/>
        <n x="187"/>
        <n x="242" s="1"/>
      </t>
    </mdx>
    <mdx n="0" f="v">
      <t c="4" si="33">
        <n x="240"/>
        <n x="32"/>
        <n x="197"/>
        <n x="242" s="1"/>
      </t>
    </mdx>
    <mdx n="0" f="v">
      <t c="4" si="33">
        <n x="240"/>
        <n x="32"/>
        <n x="150"/>
        <n x="242" s="1"/>
      </t>
    </mdx>
    <mdx n="0" f="v">
      <t c="4" si="33">
        <n x="240"/>
        <n x="30"/>
        <n x="90"/>
        <n x="242" s="1"/>
      </t>
    </mdx>
    <mdx n="0" f="v">
      <t c="4" si="29">
        <n x="241"/>
        <n x="31"/>
        <n x="126"/>
        <n x="242" s="1"/>
      </t>
    </mdx>
    <mdx n="0" f="v">
      <t c="4" si="33">
        <n x="241"/>
        <n x="30"/>
        <n x="123"/>
        <n x="242" s="1"/>
      </t>
    </mdx>
    <mdx n="0" f="v">
      <t c="4" si="33">
        <n x="241"/>
        <n x="30"/>
        <n x="159"/>
        <n x="242" s="1"/>
      </t>
    </mdx>
    <mdx n="0" f="v">
      <t c="4" si="29">
        <n x="240"/>
        <n x="31"/>
        <n x="83"/>
        <n x="242" s="1"/>
      </t>
    </mdx>
    <mdx n="0" f="v">
      <t c="4" si="33">
        <n x="240"/>
        <n x="32"/>
        <n x="124"/>
        <n x="242" s="1"/>
      </t>
    </mdx>
    <mdx n="0" f="v">
      <t c="4" si="29">
        <n x="241"/>
        <n x="31"/>
        <n x="141"/>
        <n x="242" s="1"/>
      </t>
    </mdx>
    <mdx n="0" f="v">
      <t c="4" si="29">
        <n x="240"/>
        <n x="17"/>
        <n x="174"/>
        <n x="242" s="1"/>
      </t>
    </mdx>
    <mdx n="0" f="v">
      <t c="4" si="29">
        <n x="241"/>
        <n x="17"/>
        <n x="143"/>
        <n x="242" s="1"/>
      </t>
    </mdx>
    <mdx n="0" f="v">
      <t c="4" si="33">
        <n x="240"/>
        <n x="30"/>
        <n x="157"/>
        <n x="242" s="1"/>
      </t>
    </mdx>
    <mdx n="0" f="v">
      <t c="4" si="29">
        <n x="241"/>
        <n x="17"/>
        <n x="173"/>
        <n x="242" s="1"/>
      </t>
    </mdx>
    <mdx n="0" f="v">
      <t c="4" si="33">
        <n x="240"/>
        <n x="32"/>
        <n x="167"/>
        <n x="242" s="1"/>
      </t>
    </mdx>
    <mdx n="0" f="v">
      <t c="4" si="29">
        <n x="240"/>
        <n x="17"/>
        <n x="164"/>
        <n x="242" s="1"/>
      </t>
    </mdx>
    <mdx n="0" f="v">
      <t c="4" si="33">
        <n x="241"/>
        <n x="32"/>
        <n x="101"/>
        <n x="242" s="1"/>
      </t>
    </mdx>
    <mdx n="0" f="v">
      <t c="4" si="33">
        <n x="241"/>
        <n x="30"/>
        <n x="137"/>
        <n x="242" s="1"/>
      </t>
    </mdx>
    <mdx n="0" f="v">
      <t c="4" si="29">
        <n x="241"/>
        <n x="31"/>
        <n x="183"/>
        <n x="242" s="1"/>
      </t>
    </mdx>
    <mdx n="0" f="v">
      <t c="4" si="33">
        <n x="240"/>
        <n x="32"/>
        <n x="116"/>
        <n x="242" s="1"/>
      </t>
    </mdx>
    <mdx n="0" f="v">
      <t c="4" si="29">
        <n x="241"/>
        <n x="31"/>
        <n x="109"/>
        <n x="242" s="1"/>
      </t>
    </mdx>
    <mdx n="0" f="v">
      <t c="4" si="33">
        <n x="240"/>
        <n x="32"/>
        <n x="158"/>
        <n x="242" s="1"/>
      </t>
    </mdx>
    <mdx n="0" f="v">
      <t c="4" si="33">
        <n x="241"/>
        <n x="32"/>
        <n x="50"/>
        <n x="242" s="1"/>
      </t>
    </mdx>
    <mdx n="0" f="v">
      <t c="4" si="33">
        <n x="241"/>
        <n x="32"/>
        <n x="105"/>
        <n x="242" s="1"/>
      </t>
    </mdx>
    <mdx n="0" f="v">
      <t c="4" si="33">
        <n x="241"/>
        <n x="32"/>
        <n x="90"/>
        <n x="242" s="1"/>
      </t>
    </mdx>
    <mdx n="0" f="v">
      <t c="4" si="29">
        <n x="240"/>
        <n x="17"/>
        <n x="36"/>
        <n x="242" s="1"/>
      </t>
    </mdx>
    <mdx n="0" f="v">
      <t c="4" si="33">
        <n x="241"/>
        <n x="32"/>
        <n x="196"/>
        <n x="242" s="1"/>
      </t>
    </mdx>
    <mdx n="0" f="v">
      <t c="4" si="29">
        <n x="241"/>
        <n x="17"/>
        <n x="201"/>
        <n x="242" s="1"/>
      </t>
    </mdx>
    <mdx n="0" f="v">
      <t c="4" si="33">
        <n x="240"/>
        <n x="32"/>
        <n x="133"/>
        <n x="242" s="1"/>
      </t>
    </mdx>
    <mdx n="0" f="v">
      <t c="4" si="29">
        <n x="240"/>
        <n x="31"/>
        <n x="171"/>
        <n x="242" s="1"/>
      </t>
    </mdx>
    <mdx n="0" f="v">
      <t c="4" si="33">
        <n x="241"/>
        <n x="32"/>
        <n x="128"/>
        <n x="242" s="1"/>
      </t>
    </mdx>
    <mdx n="0" f="v">
      <t c="4" si="33">
        <n x="240"/>
        <n x="30"/>
        <n x="131"/>
        <n x="242" s="1"/>
      </t>
    </mdx>
    <mdx n="0" f="v">
      <t c="4" si="29">
        <n x="240"/>
        <n x="31"/>
        <n x="88"/>
        <n x="242" s="1"/>
      </t>
    </mdx>
    <mdx n="0" f="v">
      <t c="4" si="29">
        <n x="241"/>
        <n x="17"/>
        <n x="108"/>
        <n x="242" s="1"/>
      </t>
    </mdx>
    <mdx n="0" f="v">
      <t c="4" si="33">
        <n x="241"/>
        <n x="30"/>
        <n x="135"/>
        <n x="242" s="1"/>
      </t>
    </mdx>
    <mdx n="0" f="v">
      <t c="4" si="33">
        <n x="241"/>
        <n x="32"/>
        <n x="142"/>
        <n x="242" s="1"/>
      </t>
    </mdx>
    <mdx n="0" f="v">
      <t c="4" si="33">
        <n x="240"/>
        <n x="30"/>
        <n x="198"/>
        <n x="242" s="1"/>
      </t>
    </mdx>
    <mdx n="0" f="v">
      <t c="4" si="33">
        <n x="240"/>
        <n x="32"/>
        <n x="165"/>
        <n x="242" s="1"/>
      </t>
    </mdx>
    <mdx n="0" f="v">
      <t c="4" si="33">
        <n x="241"/>
        <n x="30"/>
        <n x="129"/>
        <n x="242" s="1"/>
      </t>
    </mdx>
    <mdx n="0" f="v">
      <t c="4" si="29">
        <n x="240"/>
        <n x="31"/>
        <n x="173"/>
        <n x="242" s="1"/>
      </t>
    </mdx>
    <mdx n="0" f="v">
      <t c="4" si="29">
        <n x="241"/>
        <n x="17"/>
        <n x="169"/>
        <n x="242" s="1"/>
      </t>
    </mdx>
    <mdx n="0" f="v">
      <t c="4" si="33">
        <n x="240"/>
        <n x="30"/>
        <n x="165"/>
        <n x="242" s="1"/>
      </t>
    </mdx>
    <mdx n="0" f="v">
      <t c="4" si="33">
        <n x="240"/>
        <n x="30"/>
        <n x="133"/>
        <n x="242" s="1"/>
      </t>
    </mdx>
    <mdx n="0" f="v">
      <t c="4" si="33">
        <n x="240"/>
        <n x="32"/>
        <n x="111"/>
        <n x="242" s="1"/>
      </t>
    </mdx>
    <mdx n="0" f="v">
      <t c="4" si="33">
        <n x="241"/>
        <n x="30"/>
        <n x="115"/>
        <n x="242" s="1"/>
      </t>
    </mdx>
    <mdx n="0" f="v">
      <t c="4" si="33">
        <n x="240"/>
        <n x="30"/>
        <n x="170"/>
        <n x="242" s="1"/>
      </t>
    </mdx>
    <mdx n="0" f="v">
      <t c="4" si="33">
        <n x="241"/>
        <n x="32"/>
        <n x="92"/>
        <n x="242" s="1"/>
      </t>
    </mdx>
    <mdx n="0" f="v">
      <t c="4" si="33">
        <n x="240"/>
        <n x="30"/>
        <n x="91"/>
        <n x="242" s="1"/>
      </t>
    </mdx>
    <mdx n="0" f="v">
      <t c="4" si="29">
        <n x="241"/>
        <n x="17"/>
        <n x="100"/>
        <n x="242" s="1"/>
      </t>
    </mdx>
    <mdx n="0" f="v">
      <t c="4" si="33">
        <n x="241"/>
        <n x="32"/>
        <n x="160"/>
        <n x="242" s="1"/>
      </t>
    </mdx>
    <mdx n="0" f="v">
      <t c="4" si="29">
        <n x="241"/>
        <n x="31"/>
        <n x="40"/>
        <n x="242" s="1"/>
      </t>
    </mdx>
    <mdx n="0" f="v">
      <t c="4" si="33">
        <n x="241"/>
        <n x="32"/>
        <n x="96"/>
        <n x="242" s="1"/>
      </t>
    </mdx>
    <mdx n="0" f="v">
      <t c="4" si="29">
        <n x="241"/>
        <n x="17"/>
        <n x="117"/>
        <n x="242" s="1"/>
      </t>
    </mdx>
    <mdx n="0" f="v">
      <t c="4" si="29">
        <n x="240"/>
        <n x="31"/>
        <n x="114"/>
        <n x="242" s="1"/>
      </t>
    </mdx>
    <mdx n="0" f="v">
      <t c="4" si="29">
        <n x="241"/>
        <n x="17"/>
        <n x="134"/>
        <n x="242" s="1"/>
      </t>
    </mdx>
    <mdx n="0" f="v">
      <t c="4" si="29">
        <n x="240"/>
        <n x="17"/>
        <n x="132"/>
        <n x="242" s="1"/>
      </t>
    </mdx>
    <mdx n="0" f="v">
      <t c="4" si="33">
        <n x="241"/>
        <n x="32"/>
        <n x="89"/>
        <n x="242" s="1"/>
      </t>
    </mdx>
    <mdx n="0" f="v">
      <t c="4" si="33">
        <n x="240"/>
        <n x="32"/>
        <n x="199"/>
        <n x="242" s="1"/>
      </t>
    </mdx>
    <mdx n="0" f="v">
      <t c="4" si="33">
        <n x="241"/>
        <n x="30"/>
        <n x="153"/>
        <n x="242" s="1"/>
      </t>
    </mdx>
    <mdx n="0" f="v">
      <t c="4" si="29">
        <n x="240"/>
        <n x="17"/>
        <n x="113"/>
        <n x="242" s="1"/>
      </t>
    </mdx>
    <mdx n="0" f="v">
      <t c="4" si="33">
        <n x="240"/>
        <n x="32"/>
        <n x="195"/>
        <n x="242" s="1"/>
      </t>
    </mdx>
    <mdx n="0" f="v">
      <t c="4" si="33">
        <n x="240"/>
        <n x="32"/>
        <n x="143"/>
        <n x="242" s="1"/>
      </t>
    </mdx>
    <mdx n="0" f="v">
      <t c="4" si="29">
        <n x="240"/>
        <n x="17"/>
        <n x="106"/>
        <n x="242" s="1"/>
      </t>
    </mdx>
    <mdx n="0" f="v">
      <t c="4" si="33">
        <n x="241"/>
        <n x="32"/>
        <n x="115"/>
        <n x="242" s="1"/>
      </t>
    </mdx>
    <mdx n="0" f="v">
      <t c="4" si="33">
        <n x="241"/>
        <n x="30"/>
        <n x="171"/>
        <n x="242" s="1"/>
      </t>
    </mdx>
    <mdx n="0" f="v">
      <t c="4" si="29">
        <n x="241"/>
        <n x="17"/>
        <n x="112"/>
        <n x="242" s="1"/>
      </t>
    </mdx>
    <mdx n="0" f="v">
      <t c="4" si="33">
        <n x="241"/>
        <n x="32"/>
        <n x="108"/>
        <n x="242" s="1"/>
      </t>
    </mdx>
    <mdx n="0" f="v">
      <t c="4" si="33">
        <n x="241"/>
        <n x="30"/>
        <n x="201"/>
        <n x="242" s="1"/>
      </t>
    </mdx>
    <mdx n="0" f="v">
      <t c="4" si="33">
        <n x="241"/>
        <n x="30"/>
        <n x="53"/>
        <n x="242" s="1"/>
      </t>
    </mdx>
    <mdx n="0" f="v">
      <t c="4" si="33">
        <n x="240"/>
        <n x="32"/>
        <n x="88"/>
        <n x="242" s="1"/>
      </t>
    </mdx>
    <mdx n="0" f="v">
      <t c="4" si="29">
        <n x="240"/>
        <n x="31"/>
        <n x="107"/>
        <n x="242" s="1"/>
      </t>
    </mdx>
    <mdx n="0" f="v">
      <t c="4" si="29">
        <n x="240"/>
        <n x="31"/>
        <n x="142"/>
        <n x="242" s="1"/>
      </t>
    </mdx>
    <mdx n="0" f="v">
      <t c="4" si="33">
        <n x="241"/>
        <n x="30"/>
        <n x="198"/>
        <n x="242" s="1"/>
      </t>
    </mdx>
    <mdx n="0" f="v">
      <t c="4" si="29">
        <n x="240"/>
        <n x="17"/>
        <n x="129"/>
        <n x="242" s="1"/>
      </t>
    </mdx>
    <mdx n="0" f="v">
      <t c="4" si="33">
        <n x="240"/>
        <n x="30"/>
        <n x="42"/>
        <n x="242" s="1"/>
      </t>
    </mdx>
    <mdx n="0" f="v">
      <t c="4" si="29">
        <n x="240"/>
        <n x="17"/>
        <n x="165"/>
        <n x="242" s="1"/>
      </t>
    </mdx>
    <mdx n="0" f="v">
      <t c="4" si="33">
        <n x="241"/>
        <n x="32"/>
        <n x="111"/>
        <n x="242" s="1"/>
      </t>
    </mdx>
    <mdx n="0" f="v">
      <t c="4" si="33">
        <n x="241"/>
        <n x="30"/>
        <n x="170"/>
        <n x="242" s="1"/>
      </t>
    </mdx>
    <mdx n="0" f="v">
      <t c="4" si="33">
        <n x="240"/>
        <n x="32"/>
        <n x="92"/>
        <n x="242" s="1"/>
      </t>
    </mdx>
    <mdx n="0" f="v">
      <t c="4" si="33">
        <n x="241"/>
        <n x="32"/>
        <n x="112"/>
        <n x="242" s="1"/>
      </t>
    </mdx>
    <mdx n="0" f="v">
      <t c="4" si="29">
        <n x="240"/>
        <n x="31"/>
        <n x="160"/>
        <n x="242" s="1"/>
      </t>
    </mdx>
    <mdx n="0" f="v">
      <t c="4" si="33">
        <n x="240"/>
        <n x="30"/>
        <n x="139"/>
        <n x="242" s="1"/>
      </t>
    </mdx>
    <mdx n="0" f="v">
      <t c="4" si="29">
        <n x="241"/>
        <n x="31"/>
        <n x="166"/>
        <n x="242" s="1"/>
      </t>
    </mdx>
    <mdx n="0" f="v">
      <t c="4" si="29">
        <n x="241"/>
        <n x="31"/>
        <n x="89"/>
        <n x="242" s="1"/>
      </t>
    </mdx>
    <mdx n="0" f="v">
      <t c="4" si="29">
        <n x="241"/>
        <n x="31"/>
        <n x="110"/>
        <n x="242" s="1"/>
      </t>
    </mdx>
    <mdx n="0" f="v">
      <t c="4" si="33">
        <n x="240"/>
        <n x="30"/>
        <n x="113"/>
        <n x="242" s="1"/>
      </t>
    </mdx>
    <mdx n="0" f="v">
      <t c="4" si="29">
        <n x="241"/>
        <n x="17"/>
        <n x="185"/>
        <n x="242" s="1"/>
      </t>
    </mdx>
    <mdx n="0" f="v">
      <t c="4" si="33">
        <n x="240"/>
        <n x="30"/>
        <n x="106"/>
        <n x="242" s="1"/>
      </t>
    </mdx>
    <mdx n="0" f="v">
      <t c="4" si="33">
        <n x="241"/>
        <n x="30"/>
        <n x="152"/>
        <n x="242" s="1"/>
      </t>
    </mdx>
    <mdx n="0" f="v">
      <t c="4" si="29">
        <n x="240"/>
        <n x="17"/>
        <n x="112"/>
        <n x="242" s="1"/>
      </t>
    </mdx>
    <mdx n="0" f="v">
      <t c="4" si="29">
        <n x="241"/>
        <n x="17"/>
        <n x="129"/>
        <n x="242" s="1"/>
      </t>
    </mdx>
    <mdx n="0" f="v">
      <t c="4" si="33">
        <n x="241"/>
        <n x="30"/>
        <n x="165"/>
        <n x="242" s="1"/>
      </t>
    </mdx>
    <mdx n="0" f="v">
      <t c="4" si="29">
        <n x="240"/>
        <n x="31"/>
        <n x="111"/>
        <n x="242" s="1"/>
      </t>
    </mdx>
    <mdx n="0" f="v">
      <t c="4" si="29">
        <n x="240"/>
        <n x="31"/>
        <n x="92"/>
        <n x="242" s="1"/>
      </t>
    </mdx>
    <mdx n="0" f="v">
      <t c="5" si="29">
        <n x="240"/>
        <n x="17"/>
        <n x="11"/>
        <n x="7"/>
        <n x="242" s="1"/>
      </t>
    </mdx>
    <mdx n="0" f="v">
      <t c="4" si="33">
        <n x="241"/>
        <n x="30"/>
        <n x="167"/>
        <n x="242" s="1"/>
      </t>
    </mdx>
    <mdx n="0" f="v">
      <t c="4" si="33">
        <n x="241"/>
        <n x="30"/>
        <n x="97"/>
        <n x="242" s="1"/>
      </t>
    </mdx>
    <mdx n="0" f="v">
      <t c="4" si="33">
        <n x="240"/>
        <n x="30"/>
        <n x="195"/>
        <n x="242" s="1"/>
      </t>
    </mdx>
    <mdx n="0" f="v">
      <t c="4" si="29">
        <n x="240"/>
        <n x="31"/>
        <n x="36"/>
        <n x="242" s="1"/>
      </t>
    </mdx>
    <mdx n="0" f="v">
      <t c="4" si="33">
        <n x="240"/>
        <n x="32"/>
        <n x="37"/>
        <n x="242" s="1"/>
      </t>
    </mdx>
    <mdx n="0" f="v">
      <t c="4" si="33">
        <n x="241"/>
        <n x="30"/>
        <n x="128"/>
        <n x="242" s="1"/>
      </t>
    </mdx>
    <mdx n="0" f="v">
      <t c="4" si="33">
        <n x="240"/>
        <n x="40"/>
        <n x="32"/>
        <n x="242" s="1"/>
      </t>
    </mdx>
    <mdx n="0" f="v">
      <t c="4" si="33">
        <n x="241"/>
        <n x="30"/>
        <n x="89"/>
        <n x="242" s="1"/>
      </t>
    </mdx>
    <mdx n="0" f="v">
      <t c="4" si="33">
        <n x="241"/>
        <n x="32"/>
        <n x="87"/>
        <n x="242" s="1"/>
      </t>
    </mdx>
    <mdx n="0" f="v">
      <t c="4" si="29">
        <n x="240"/>
        <n x="31"/>
        <n x="175"/>
        <n x="242" s="1"/>
      </t>
    </mdx>
    <mdx n="0" f="v">
      <t c="4" si="29">
        <n x="240"/>
        <n x="31"/>
        <n x="155"/>
        <n x="242" s="1"/>
      </t>
    </mdx>
    <mdx n="0" f="v">
      <t c="4" si="33">
        <n x="240"/>
        <n x="30"/>
        <n x="121"/>
        <n x="242" s="1"/>
      </t>
    </mdx>
    <mdx n="0" f="v">
      <t c="4" si="29">
        <n x="240"/>
        <n x="17"/>
        <n x="179"/>
        <n x="242" s="1"/>
      </t>
    </mdx>
    <mdx n="0" f="v">
      <t c="4" si="33">
        <n x="240"/>
        <n x="32"/>
        <n x="53"/>
        <n x="242" s="1"/>
      </t>
    </mdx>
    <mdx n="0" f="v">
      <t c="4" si="33">
        <n x="241"/>
        <n x="30"/>
        <n x="132"/>
        <n x="242" s="1"/>
      </t>
    </mdx>
    <mdx n="0" f="v">
      <t c="4" si="29">
        <n x="240"/>
        <n x="31"/>
        <n x="179"/>
        <n x="242" s="1"/>
      </t>
    </mdx>
    <mdx n="0" f="v">
      <t c="4" si="29">
        <n x="241"/>
        <n x="17"/>
        <n x="139"/>
        <n x="242" s="1"/>
      </t>
    </mdx>
    <mdx n="0" f="v">
      <t c="4" si="33">
        <n x="241"/>
        <n x="32"/>
        <n x="103"/>
        <n x="242" s="1"/>
      </t>
    </mdx>
    <mdx n="0" f="v">
      <t c="4" si="29">
        <n x="241"/>
        <n x="31"/>
        <n x="137"/>
        <n x="242" s="1"/>
      </t>
    </mdx>
    <mdx n="0" f="v">
      <t c="4" si="29">
        <n x="241"/>
        <n x="31"/>
        <n x="179"/>
        <n x="242" s="1"/>
      </t>
    </mdx>
    <mdx n="0" f="v">
      <t c="5" si="33">
        <n x="240"/>
        <n x="30"/>
        <n x="202"/>
        <n x="43"/>
        <n x="242" s="1"/>
      </t>
    </mdx>
    <mdx n="0" f="v">
      <t c="4" si="33">
        <n x="240"/>
        <n x="32"/>
        <n x="187"/>
        <n x="242" s="1"/>
      </t>
    </mdx>
    <mdx n="0" f="v">
      <t c="4" si="33">
        <n x="240"/>
        <n x="32"/>
        <n x="134"/>
        <n x="242" s="1"/>
      </t>
    </mdx>
    <mdx n="0" f="v">
      <t c="4" si="33">
        <n x="240"/>
        <n x="32"/>
        <n x="137"/>
        <n x="242" s="1"/>
      </t>
    </mdx>
    <mdx n="0" f="v">
      <t c="4" si="29">
        <n x="240"/>
        <n x="31"/>
        <n x="122"/>
        <n x="242" s="1"/>
      </t>
    </mdx>
    <mdx n="0" f="v">
      <t c="4" si="33">
        <n x="241"/>
        <n x="32"/>
        <n x="94"/>
        <n x="242" s="1"/>
      </t>
    </mdx>
    <mdx n="0" f="v">
      <t c="4" si="29">
        <n x="241"/>
        <n x="17"/>
        <n x="95"/>
        <n x="242" s="1"/>
      </t>
    </mdx>
    <mdx n="0" f="v">
      <t c="4" si="29">
        <n x="241"/>
        <n x="31"/>
        <n x="144"/>
        <n x="242" s="1"/>
      </t>
    </mdx>
    <mdx n="0" f="v">
      <t c="4" si="29">
        <n x="241"/>
        <n x="17"/>
        <n x="98"/>
        <n x="242" s="1"/>
      </t>
    </mdx>
    <mdx n="0" f="v">
      <t c="4" si="33">
        <n x="241"/>
        <n x="30"/>
        <n x="172"/>
        <n x="242" s="1"/>
      </t>
    </mdx>
    <mdx n="0" f="v">
      <t c="4" si="29">
        <n x="241"/>
        <n x="17"/>
        <n x="111"/>
        <n x="242" s="1"/>
      </t>
    </mdx>
    <mdx n="0" f="v">
      <t c="4" si="29">
        <n x="240"/>
        <n x="17"/>
        <n x="186"/>
        <n x="242" s="1"/>
      </t>
    </mdx>
    <mdx n="0" f="v">
      <t c="4" si="33">
        <n x="241"/>
        <n x="32"/>
        <n x="200"/>
        <n x="242" s="1"/>
      </t>
    </mdx>
    <mdx n="0" f="v">
      <t c="4" si="33">
        <n x="240"/>
        <n x="32"/>
        <n x="156"/>
        <n x="242" s="1"/>
      </t>
    </mdx>
    <mdx n="0" f="v">
      <t c="4" si="33">
        <n x="240"/>
        <n x="32"/>
        <n x="107"/>
        <n x="242" s="1"/>
      </t>
    </mdx>
    <mdx n="0" f="v">
      <t c="4" si="33">
        <n x="240"/>
        <n x="30"/>
        <n x="143"/>
        <n x="242" s="1"/>
      </t>
    </mdx>
    <mdx n="0" f="v">
      <t c="4" si="33">
        <n x="241"/>
        <n x="30"/>
        <n x="103"/>
        <n x="242" s="1"/>
      </t>
    </mdx>
    <mdx n="0" f="v">
      <t c="4" si="29">
        <n x="240"/>
        <n x="31"/>
        <n x="183"/>
        <n x="242" s="1"/>
      </t>
    </mdx>
    <mdx n="0" f="v">
      <t c="4" si="33">
        <n x="241"/>
        <n x="32"/>
        <n x="159"/>
        <n x="242" s="1"/>
      </t>
    </mdx>
    <mdx n="0" f="v">
      <t c="4" si="33">
        <n x="241"/>
        <n x="32"/>
        <n x="109"/>
        <n x="242" s="1"/>
      </t>
    </mdx>
    <mdx n="0" f="v">
      <t c="4" si="29">
        <n x="241"/>
        <n x="31"/>
        <n x="158"/>
        <n x="242" s="1"/>
      </t>
    </mdx>
    <mdx n="0" f="v">
      <t c="4" si="29">
        <n x="240"/>
        <n x="17"/>
        <n x="152"/>
        <n x="242" s="1"/>
      </t>
    </mdx>
    <mdx n="0" f="v">
      <t c="4" si="33">
        <n x="240"/>
        <n x="30"/>
        <n x="125"/>
        <n x="242" s="1"/>
      </t>
    </mdx>
    <mdx n="0" f="v">
      <t c="4" si="33">
        <n x="241"/>
        <n x="30"/>
        <n x="122"/>
        <n x="242" s="1"/>
      </t>
    </mdx>
    <mdx n="0" f="v">
      <t c="4" si="33">
        <n x="241"/>
        <n x="30"/>
        <n x="175"/>
        <n x="242" s="1"/>
      </t>
    </mdx>
    <mdx n="0" f="v">
      <t c="4" si="29">
        <n x="241"/>
        <n x="31"/>
        <n x="139"/>
        <n x="242" s="1"/>
      </t>
    </mdx>
    <mdx n="0" f="v">
      <t c="4" si="33">
        <n x="241"/>
        <n x="30"/>
        <n x="168"/>
        <n x="242" s="1"/>
      </t>
    </mdx>
    <mdx n="0" f="v">
      <t c="4" si="33">
        <n x="241"/>
        <n x="32"/>
        <n x="99"/>
        <n x="242" s="1"/>
      </t>
    </mdx>
    <mdx n="0" f="v">
      <t c="4" si="33">
        <n x="240"/>
        <n x="30"/>
        <n x="124"/>
        <n x="242" s="1"/>
      </t>
    </mdx>
    <mdx n="0" f="v">
      <t c="4" si="33">
        <n x="240"/>
        <n x="32"/>
        <n x="42"/>
        <n x="242" s="1"/>
      </t>
    </mdx>
    <mdx n="0" f="v">
      <t c="4" si="29">
        <n x="240"/>
        <n x="31"/>
        <n x="152"/>
        <n x="242" s="1"/>
      </t>
    </mdx>
    <mdx n="0" f="v">
      <t c="4" si="29">
        <n x="241"/>
        <n x="17"/>
        <n x="46"/>
        <n x="242" s="1"/>
      </t>
    </mdx>
    <mdx n="0" f="v">
      <t c="4" si="29">
        <n x="241"/>
        <n x="17"/>
        <n x="83"/>
        <n x="242" s="1"/>
      </t>
    </mdx>
    <mdx n="0" f="v">
      <t c="4" si="29">
        <n x="240"/>
        <n x="17"/>
        <n x="158"/>
        <n x="242" s="1"/>
      </t>
    </mdx>
    <mdx n="0" f="v">
      <t c="4" si="29">
        <n x="241"/>
        <n x="17"/>
        <n x="121"/>
        <n x="242" s="1"/>
      </t>
    </mdx>
    <mdx n="0" f="v">
      <t c="4" si="33">
        <n x="241"/>
        <n x="32"/>
        <n x="120"/>
        <n x="242" s="1"/>
      </t>
    </mdx>
    <mdx n="0" f="v">
      <t c="4" si="29">
        <n x="241"/>
        <n x="31"/>
        <n x="107"/>
        <n x="242" s="1"/>
      </t>
    </mdx>
    <mdx n="0" f="v">
      <t c="4" si="33">
        <n x="240"/>
        <n x="32"/>
        <n x="123"/>
        <n x="242" s="1"/>
      </t>
    </mdx>
    <mdx n="0" f="v">
      <t c="4" si="33">
        <n x="241"/>
        <n x="30"/>
        <n x="124"/>
        <n x="242" s="1"/>
      </t>
    </mdx>
    <mdx n="0" f="v">
      <t c="4" si="33">
        <n x="240"/>
        <n x="32"/>
        <n x="91"/>
        <n x="242" s="1"/>
      </t>
    </mdx>
    <mdx n="0" f="v">
      <t c="4" si="33">
        <n x="241"/>
        <n x="30"/>
        <n x="138"/>
        <n x="242" s="1"/>
      </t>
    </mdx>
    <mdx n="0" f="v">
      <t c="4" si="29">
        <n x="240"/>
        <n x="31"/>
        <n x="117"/>
        <n x="242" s="1"/>
      </t>
    </mdx>
    <mdx n="0" f="v">
      <t c="4" si="33">
        <n x="241"/>
        <n x="32"/>
        <n x="37"/>
        <n x="242" s="1"/>
      </t>
    </mdx>
    <mdx n="0" f="v">
      <t c="4" si="33">
        <n x="240"/>
        <n x="32"/>
        <n x="136"/>
        <n x="242" s="1"/>
      </t>
    </mdx>
    <mdx n="0" f="v">
      <t c="4" si="29">
        <n x="241"/>
        <n x="17"/>
        <n x="160"/>
        <n x="242" s="1"/>
      </t>
    </mdx>
    <mdx n="0" f="v">
      <t c="4" si="29">
        <n x="241"/>
        <n x="31"/>
        <n x="138"/>
        <n x="242" s="1"/>
      </t>
    </mdx>
    <mdx n="0" f="v">
      <t c="4" si="33">
        <n x="241"/>
        <n x="30"/>
        <n x="84"/>
        <n x="242" s="1"/>
      </t>
    </mdx>
    <mdx n="0" f="v">
      <t c="4" si="33">
        <n x="240"/>
        <n x="30"/>
        <n x="142"/>
        <n x="242" s="1"/>
      </t>
    </mdx>
    <mdx n="0" f="v">
      <t c="4" si="33">
        <n x="241"/>
        <n x="30"/>
        <n x="125"/>
        <n x="242" s="1"/>
      </t>
    </mdx>
    <mdx n="0" f="v">
      <t c="4" si="33">
        <n x="240"/>
        <n x="32"/>
        <n x="184"/>
        <n x="242" s="1"/>
      </t>
    </mdx>
    <mdx n="0" f="v">
      <t c="4" si="33">
        <n x="241"/>
        <n x="30"/>
        <n x="101"/>
        <n x="242" s="1"/>
      </t>
    </mdx>
    <mdx n="0" f="v">
      <t c="4" si="29">
        <n x="241"/>
        <n x="31"/>
        <n x="153"/>
        <n x="242" s="1"/>
      </t>
    </mdx>
    <mdx n="0" f="v">
      <t c="4" si="33">
        <n x="241"/>
        <n x="30"/>
        <n x="88"/>
        <n x="242" s="1"/>
      </t>
    </mdx>
    <mdx n="0" f="v">
      <t c="4" si="29">
        <n x="241"/>
        <n x="17"/>
        <n x="96"/>
        <n x="242" s="1"/>
      </t>
    </mdx>
    <mdx n="0" f="v">
      <t c="4" si="29">
        <n x="241"/>
        <n x="17"/>
        <n x="187"/>
        <n x="242" s="1"/>
      </t>
    </mdx>
    <mdx n="0" f="v">
      <t c="4" si="29">
        <n x="240"/>
        <n x="17"/>
        <n x="199"/>
        <n x="242" s="1"/>
      </t>
    </mdx>
    <mdx n="0" f="v">
      <t c="4" si="29">
        <n x="241"/>
        <n x="31"/>
        <n x="150"/>
        <n x="242" s="1"/>
      </t>
    </mdx>
    <mdx n="0" f="v">
      <t c="4" si="29">
        <n x="240"/>
        <n x="17"/>
        <n x="90"/>
        <n x="242" s="1"/>
      </t>
    </mdx>
    <mdx n="0" f="v">
      <t c="4" si="33">
        <n x="240"/>
        <n x="32"/>
        <n x="126"/>
        <n x="242" s="1"/>
      </t>
    </mdx>
    <mdx n="0" f="v">
      <t c="4" si="29">
        <n x="241"/>
        <n x="17"/>
        <n x="123"/>
        <n x="242" s="1"/>
      </t>
    </mdx>
    <mdx n="0" f="v">
      <t c="4" si="29">
        <n x="241"/>
        <n x="17"/>
        <n x="44"/>
        <n x="242" s="1"/>
      </t>
    </mdx>
    <mdx n="0" f="v">
      <t c="4" si="33">
        <n x="241"/>
        <n x="32"/>
        <n x="83"/>
        <n x="242" s="1"/>
      </t>
    </mdx>
    <mdx n="0" f="v">
      <t c="4" si="33">
        <n x="241"/>
        <n x="32"/>
        <n x="124"/>
        <n x="242" s="1"/>
      </t>
    </mdx>
    <mdx n="0" f="v">
      <t c="4" si="33">
        <n x="240"/>
        <n x="32"/>
        <n x="145"/>
        <n x="242" s="1"/>
      </t>
    </mdx>
    <mdx n="0" f="v">
      <t c="4" si="33">
        <n x="241"/>
        <n x="32"/>
        <n x="148"/>
        <n x="242" s="1"/>
      </t>
    </mdx>
    <mdx n="0" f="v">
      <t c="4" si="33">
        <n x="240"/>
        <n x="30"/>
        <n x="156"/>
        <n x="242" s="1"/>
      </t>
    </mdx>
    <mdx n="0" f="v">
      <t c="4" si="33">
        <n x="241"/>
        <n x="30"/>
        <n x="157"/>
        <n x="242" s="1"/>
      </t>
    </mdx>
    <mdx n="0" f="v">
      <t c="4" si="33">
        <n x="241"/>
        <n x="32"/>
        <n x="167"/>
        <n x="242" s="1"/>
      </t>
    </mdx>
    <mdx n="0" f="v">
      <t c="4" si="29">
        <n x="240"/>
        <n x="17"/>
        <n x="162"/>
        <n x="242" s="1"/>
      </t>
    </mdx>
    <mdx n="0" f="v">
      <t c="4" si="33">
        <n x="241"/>
        <n x="32"/>
        <n x="113"/>
        <n x="242" s="1"/>
      </t>
    </mdx>
    <mdx n="0" f="v">
      <t c="4" si="33">
        <n x="240"/>
        <n x="30"/>
        <n x="164"/>
        <n x="242" s="1"/>
      </t>
    </mdx>
    <mdx n="0" f="v">
      <t c="4" si="29">
        <n x="240"/>
        <n x="31"/>
        <n x="154"/>
        <n x="242" s="1"/>
      </t>
    </mdx>
    <mdx n="0" f="v">
      <t c="4" si="33">
        <n x="240"/>
        <n x="30"/>
        <n x="137"/>
        <n x="242" s="1"/>
      </t>
    </mdx>
    <mdx n="0" f="v">
      <t c="4" si="29">
        <n x="241"/>
        <n x="17"/>
        <n x="107"/>
        <n x="242" s="1"/>
      </t>
    </mdx>
    <mdx n="0" f="v">
      <t c="4" si="29">
        <n x="241"/>
        <n x="31"/>
        <n x="116"/>
        <n x="242" s="1"/>
      </t>
    </mdx>
    <mdx n="0" f="v">
      <t c="4" si="29">
        <n x="240"/>
        <n x="31"/>
        <n x="109"/>
        <n x="242" s="1"/>
      </t>
    </mdx>
    <mdx n="0" f="v">
      <t c="4" si="29">
        <n x="240"/>
        <n x="31"/>
        <n x="158"/>
        <n x="242" s="1"/>
      </t>
    </mdx>
    <mdx n="0" f="v">
      <t c="4" si="29">
        <n x="241"/>
        <n x="31"/>
        <n x="50"/>
        <n x="242" s="1"/>
      </t>
    </mdx>
    <mdx n="0" f="v">
      <t c="4" si="29">
        <n x="240"/>
        <n x="31"/>
        <n x="105"/>
        <n x="242" s="1"/>
      </t>
    </mdx>
    <mdx n="0" f="v">
      <t c="4" si="29">
        <n x="241"/>
        <n x="31"/>
        <n x="90"/>
        <n x="242" s="1"/>
      </t>
    </mdx>
    <mdx n="0" f="v">
      <t c="4" si="29">
        <n x="241"/>
        <n x="17"/>
        <n x="36"/>
        <n x="242" s="1"/>
      </t>
    </mdx>
    <mdx n="0" f="v">
      <t c="4" si="33">
        <n x="240"/>
        <n x="32"/>
        <n x="196"/>
        <n x="242" s="1"/>
      </t>
    </mdx>
    <mdx n="0" f="v">
      <t c="4" si="29">
        <n x="240"/>
        <n x="31"/>
        <n x="133"/>
        <n x="242" s="1"/>
      </t>
    </mdx>
    <mdx n="0" f="v">
      <t c="4" si="29">
        <n x="240"/>
        <n x="17"/>
        <n x="131"/>
        <n x="242" s="1"/>
      </t>
    </mdx>
    <mdx n="0" f="v">
      <t c="4" si="29">
        <n x="241"/>
        <n x="31"/>
        <n x="194"/>
        <n x="242" s="1"/>
      </t>
    </mdx>
    <mdx n="0" f="v">
      <t c="4" si="33">
        <n x="241"/>
        <n x="30"/>
        <n x="99"/>
        <n x="242" s="1"/>
      </t>
    </mdx>
    <mdx n="0" f="v">
      <t c="4" si="33">
        <n x="240"/>
        <n x="30"/>
        <n x="169"/>
        <n x="242" s="1"/>
      </t>
    </mdx>
    <mdx n="0" f="v">
      <t c="4" si="29">
        <n x="241"/>
        <n x="17"/>
        <n x="133"/>
        <n x="242" s="1"/>
      </t>
    </mdx>
    <mdx n="0" f="v">
      <t c="4" si="29">
        <n x="240"/>
        <n x="17"/>
        <n x="115"/>
        <n x="242" s="1"/>
      </t>
    </mdx>
    <mdx n="0" f="v">
      <t c="4" si="29">
        <n x="240"/>
        <n x="17"/>
        <n x="91"/>
        <n x="242" s="1"/>
      </t>
    </mdx>
    <mdx n="0" f="v">
      <t c="4" si="33">
        <n x="240"/>
        <n x="32"/>
        <n x="96"/>
        <n x="242" s="1"/>
      </t>
    </mdx>
    <mdx n="0" f="v">
      <t c="4" si="33">
        <n x="240"/>
        <n x="30"/>
        <n x="117"/>
        <n x="242" s="1"/>
      </t>
    </mdx>
    <mdx n="0" f="v">
      <t c="4" si="29">
        <n x="241"/>
        <n x="17"/>
        <n x="132"/>
        <n x="242" s="1"/>
      </t>
    </mdx>
    <mdx n="0" f="v">
      <t c="4" si="29">
        <n x="241"/>
        <n x="17"/>
        <n x="153"/>
        <n x="242" s="1"/>
      </t>
    </mdx>
    <mdx n="0" f="v">
      <t c="4" si="29">
        <n x="241"/>
        <n x="31"/>
        <n x="195"/>
        <n x="242" s="1"/>
      </t>
    </mdx>
    <mdx n="0" f="v">
      <t c="4" si="33">
        <n x="240"/>
        <n x="30"/>
        <n x="171"/>
        <n x="242" s="1"/>
      </t>
    </mdx>
    <mdx n="0" f="v">
      <t c="4" si="33">
        <n x="240"/>
        <n x="32"/>
        <n x="108"/>
        <n x="242" s="1"/>
      </t>
    </mdx>
    <mdx n="0" f="v">
      <t c="4" si="29">
        <n x="241"/>
        <n x="17"/>
        <n x="197"/>
        <n x="242" s="1"/>
      </t>
    </mdx>
    <mdx n="0" f="v">
      <t c="4" si="29">
        <n x="240"/>
        <n x="17"/>
        <n x="170"/>
        <n x="242" s="1"/>
      </t>
    </mdx>
    <mdx n="0" f="v">
      <t c="4" si="29">
        <n x="240"/>
        <n x="52"/>
        <n x="17"/>
        <n x="242" s="1"/>
      </t>
    </mdx>
    <mdx n="0" f="v">
      <t c="4" si="29">
        <n x="241"/>
        <n x="31"/>
        <n x="189"/>
        <n x="242" s="1"/>
      </t>
    </mdx>
    <mdx n="0" f="v">
      <t c="4" si="33">
        <n x="240"/>
        <n x="32"/>
        <n x="129"/>
        <n x="242" s="1"/>
      </t>
    </mdx>
    <mdx n="0" f="v">
      <t c="4" si="33">
        <n x="241"/>
        <n x="32"/>
        <n x="181"/>
        <n x="242" s="1"/>
      </t>
    </mdx>
    <mdx n="0" f="v">
      <t c="4" si="33">
        <n x="241"/>
        <n x="32"/>
        <n x="129"/>
        <n x="242" s="1"/>
      </t>
    </mdx>
    <mdx n="0" f="v">
      <t c="4" si="29">
        <n x="240"/>
        <n x="31"/>
        <n x="104"/>
        <n x="242" s="1"/>
      </t>
    </mdx>
    <mdx n="0" f="v">
      <t c="4" si="29">
        <n x="240"/>
        <n x="17"/>
        <n x="147"/>
        <n x="242" s="1"/>
      </t>
    </mdx>
    <mdx n="0" f="v">
      <t c="4" si="33">
        <n x="241"/>
        <n x="30"/>
        <n x="189"/>
        <n x="242" s="1"/>
      </t>
    </mdx>
    <mdx n="0" f="v">
      <t c="4" si="29">
        <n x="240"/>
        <n x="31"/>
        <n x="93"/>
        <n x="242" s="1"/>
      </t>
    </mdx>
    <mdx n="0" f="v">
      <t c="4" si="33">
        <n x="240"/>
        <n x="32"/>
        <n x="100"/>
        <n x="242" s="1"/>
      </t>
    </mdx>
    <mdx n="0" f="v">
      <t c="5" si="33">
        <n x="240"/>
        <n x="30"/>
        <n x="14"/>
        <n x="43"/>
        <n x="242" s="1"/>
      </t>
    </mdx>
    <mdx n="0" f="v">
      <t c="4" si="29">
        <n x="240"/>
        <n x="31"/>
        <n x="191"/>
        <n x="242" s="1"/>
      </t>
    </mdx>
    <mdx n="0" f="v">
      <t c="5" si="33">
        <n x="240"/>
        <n x="30"/>
        <n x="4"/>
        <n x="35"/>
        <n x="242" s="1"/>
      </t>
    </mdx>
    <mdx n="0" f="v">
      <t c="4" si="33">
        <n x="240"/>
        <n x="30"/>
        <n x="167"/>
        <n x="242" s="1"/>
      </t>
    </mdx>
    <mdx n="0" f="v">
      <t c="4" si="33">
        <n x="241"/>
        <n x="32"/>
        <n x="126"/>
        <n x="242" s="1"/>
      </t>
    </mdx>
    <mdx n="0" f="v">
      <t c="4" si="33">
        <n x="241"/>
        <n x="32"/>
        <n x="156"/>
        <n x="242" s="1"/>
      </t>
    </mdx>
    <mdx n="0" f="v">
      <t c="4" si="29">
        <n x="241"/>
        <n x="17"/>
        <n x="145"/>
        <n x="242" s="1"/>
      </t>
    </mdx>
    <mdx n="0" f="v">
      <t c="4" si="33">
        <n x="240"/>
        <n x="30"/>
        <n x="177"/>
        <n x="242" s="1"/>
      </t>
    </mdx>
    <mdx n="0" f="v">
      <t c="4" si="29">
        <n x="241"/>
        <n x="31"/>
        <n x="88"/>
        <n x="242" s="1"/>
      </t>
    </mdx>
    <mdx n="0" f="v">
      <t c="4" si="29">
        <n x="241"/>
        <n x="31"/>
        <n x="38"/>
        <n x="242" s="1"/>
      </t>
    </mdx>
    <mdx n="0" f="v">
      <t c="4" si="33">
        <n x="240"/>
        <n x="32"/>
        <n x="181"/>
        <n x="242" s="1"/>
      </t>
    </mdx>
    <mdx n="0" f="v">
      <t c="5" si="29">
        <n x="240"/>
        <n x="17"/>
        <n x="1"/>
        <n x="28"/>
        <n x="242" s="1"/>
      </t>
    </mdx>
    <mdx n="0" f="v">
      <t c="4" si="29">
        <n x="241"/>
        <n x="17"/>
        <n x="136"/>
        <n x="242" s="1"/>
      </t>
    </mdx>
    <mdx n="0" f="v">
      <t c="4" si="33">
        <n x="240"/>
        <n x="30"/>
        <n x="94"/>
        <n x="242" s="1"/>
      </t>
    </mdx>
    <mdx n="0" f="v">
      <t c="4" si="33">
        <n x="240"/>
        <n x="30"/>
        <n x="45"/>
        <n x="242" s="1"/>
      </t>
    </mdx>
    <mdx n="0" f="v">
      <t c="4" si="33">
        <n x="240"/>
        <n x="32"/>
        <n x="200"/>
        <n x="242" s="1"/>
      </t>
    </mdx>
    <mdx n="0" f="v">
      <t c="4" si="29">
        <n x="240"/>
        <n x="31"/>
        <n x="168"/>
        <n x="242" s="1"/>
      </t>
    </mdx>
    <mdx n="0" f="v">
      <t c="4" si="33">
        <n x="240"/>
        <n x="32"/>
        <n x="83"/>
        <n x="242" s="1"/>
      </t>
    </mdx>
    <mdx n="0" f="v">
      <t c="4" si="29">
        <n x="241"/>
        <n x="17"/>
        <n x="149"/>
        <n x="242" s="1"/>
      </t>
    </mdx>
    <mdx n="0" f="v">
      <t c="4" si="33">
        <n x="240"/>
        <n x="30"/>
        <n x="111"/>
        <n x="242" s="1"/>
      </t>
    </mdx>
    <mdx n="0" f="v">
      <t c="4" si="29">
        <n x="241"/>
        <n x="17"/>
        <n x="104"/>
        <n x="242" s="1"/>
      </t>
    </mdx>
    <mdx n="0" f="v">
      <t c="4" si="29">
        <n x="240"/>
        <n x="31"/>
        <n x="110"/>
        <n x="242" s="1"/>
      </t>
    </mdx>
    <mdx n="0" f="v">
      <t c="4" si="29">
        <n x="240"/>
        <n x="17"/>
        <n x="167"/>
        <n x="242" s="1"/>
      </t>
    </mdx>
    <mdx n="0" f="v">
      <t c="4" si="29">
        <n x="241"/>
        <n x="31"/>
        <n x="44"/>
        <n x="242" s="1"/>
      </t>
    </mdx>
    <mdx n="0" f="v">
      <t c="5" si="33">
        <n x="240"/>
        <n x="30"/>
        <n x="10"/>
        <n x="34"/>
        <n x="242" s="1"/>
      </t>
    </mdx>
    <mdx n="0" f="v">
      <t c="4" si="29">
        <n x="241"/>
        <n x="31"/>
        <n x="157"/>
        <n x="242" s="1"/>
      </t>
    </mdx>
    <mdx n="0" f="v">
      <t c="4" si="29">
        <n x="240"/>
        <n x="17"/>
        <n x="196"/>
        <n x="242" s="1"/>
      </t>
    </mdx>
    <mdx n="0" f="v">
      <t c="4" si="29">
        <n x="241"/>
        <n x="17"/>
        <n x="84"/>
        <n x="242" s="1"/>
      </t>
    </mdx>
    <mdx n="0" f="v">
      <t c="4" si="33">
        <n x="240"/>
        <n x="30"/>
        <n x="144"/>
        <n x="242" s="1"/>
      </t>
    </mdx>
    <mdx n="0" f="v">
      <t c="4" si="29">
        <n x="241"/>
        <n x="17"/>
        <n x="120"/>
        <n x="242" s="1"/>
      </t>
    </mdx>
    <mdx n="0" f="v">
      <t c="4" si="29">
        <n x="241"/>
        <n x="31"/>
        <n x="104"/>
        <n x="242" s="1"/>
      </t>
    </mdx>
    <mdx n="0" f="v">
      <t c="4" si="29">
        <n x="240"/>
        <n x="31"/>
        <n x="113"/>
        <n x="242" s="1"/>
      </t>
    </mdx>
    <mdx n="0" f="v">
      <t c="4" si="33">
        <n x="241"/>
        <n x="32"/>
        <n x="44"/>
        <n x="242" s="1"/>
      </t>
    </mdx>
    <mdx n="0" f="v">
      <t c="4" si="33">
        <n x="240"/>
        <n x="32"/>
        <n x="45"/>
        <n x="242" s="1"/>
      </t>
    </mdx>
    <mdx n="0" f="v">
      <t c="4" si="29">
        <n x="240"/>
        <n x="31"/>
        <n x="195"/>
        <n x="242" s="1"/>
      </t>
    </mdx>
    <mdx n="0" f="v">
      <t c="4" si="29">
        <n x="241"/>
        <n x="31"/>
        <n x="135"/>
        <n x="242" s="1"/>
      </t>
    </mdx>
    <mdx n="0" f="v">
      <t c="4" si="29">
        <n x="240"/>
        <n x="31"/>
        <n x="115"/>
        <n x="242" s="1"/>
      </t>
    </mdx>
    <mdx n="0" f="v">
      <t c="4" si="33">
        <n x="240"/>
        <n x="30"/>
        <n x="112"/>
        <n x="242" s="1"/>
      </t>
    </mdx>
    <mdx n="0" f="v">
      <t c="4" si="29">
        <n x="241"/>
        <n x="31"/>
        <n x="108"/>
        <n x="242" s="1"/>
      </t>
    </mdx>
    <mdx n="0" f="v">
      <t c="4" si="33">
        <n x="240"/>
        <n x="32"/>
        <n x="151"/>
        <n x="242" s="1"/>
      </t>
    </mdx>
    <mdx n="0" f="v">
      <t c="4" si="33">
        <n x="241"/>
        <n x="30"/>
        <n x="38"/>
        <n x="242" s="1"/>
      </t>
    </mdx>
    <mdx n="0" f="v">
      <t c="4" si="33">
        <n x="240"/>
        <n x="30"/>
        <n x="119"/>
        <n x="242" s="1"/>
      </t>
    </mdx>
    <mdx n="0" f="v">
      <t c="4" si="33">
        <n x="241"/>
        <n x="32"/>
        <n x="186"/>
        <n x="242" s="1"/>
      </t>
    </mdx>
    <mdx n="0" f="v">
      <t c="4" si="33">
        <n x="240"/>
        <n x="32"/>
        <n x="169"/>
        <n x="242" s="1"/>
      </t>
    </mdx>
    <mdx n="0" f="v">
      <t c="4" si="33">
        <n x="240"/>
        <n x="30"/>
        <n x="153"/>
        <n x="242" s="1"/>
      </t>
    </mdx>
    <mdx n="0" f="v">
      <t c="4" si="29">
        <n x="240"/>
        <n x="17"/>
        <n x="50"/>
        <n x="242" s="1"/>
      </t>
    </mdx>
    <mdx n="0" f="v">
      <t c="4" si="33">
        <n x="240"/>
        <n x="32"/>
        <n x="119"/>
        <n x="242" s="1"/>
      </t>
    </mdx>
    <mdx n="0" f="v">
      <t c="4" si="29">
        <n x="240"/>
        <n x="17"/>
        <n x="135"/>
        <n x="242" s="1"/>
      </t>
    </mdx>
    <mdx n="0" f="v">
      <t c="4" si="29">
        <n x="240"/>
        <n x="31"/>
        <n x="126"/>
        <n x="242" s="1"/>
      </t>
    </mdx>
    <mdx n="0" f="v">
      <t c="4" si="33">
        <n x="241"/>
        <n x="32"/>
        <n x="88"/>
        <n x="242" s="1"/>
      </t>
    </mdx>
    <mdx n="0" f="v">
      <t c="4" si="33">
        <n x="240"/>
        <n x="30"/>
        <n x="103"/>
        <n x="242" s="1"/>
      </t>
    </mdx>
    <mdx n="0" f="v">
      <t c="4" si="33">
        <n x="241"/>
        <n x="32"/>
        <n x="195"/>
        <n x="242" s="1"/>
      </t>
    </mdx>
    <mdx n="0" f="v">
      <t c="4" si="29">
        <n x="240"/>
        <n x="31"/>
        <n x="143"/>
        <n x="242" s="1"/>
      </t>
    </mdx>
    <mdx n="0" f="v">
      <t c="4" si="29">
        <n x="241"/>
        <n x="31"/>
        <n x="87"/>
        <n x="242" s="1"/>
      </t>
    </mdx>
    <mdx n="0" f="v">
      <t c="4" si="29">
        <n x="240"/>
        <n x="31"/>
        <n x="157"/>
        <n x="242" s="1"/>
      </t>
    </mdx>
    <mdx n="0" f="v">
      <t c="4" si="33">
        <n x="241"/>
        <n x="32"/>
        <n x="102"/>
        <n x="242" s="1"/>
      </t>
    </mdx>
    <mdx n="0" f="v">
      <t c="4" si="33">
        <n x="241"/>
        <n x="32"/>
        <n x="91"/>
        <n x="242" s="1"/>
      </t>
    </mdx>
    <mdx n="0" f="v">
      <t c="4" si="29">
        <n x="241"/>
        <n x="31"/>
        <n x="185"/>
        <n x="242" s="1"/>
      </t>
    </mdx>
    <mdx n="0" f="v">
      <t c="4" si="33">
        <n x="240"/>
        <n x="30"/>
        <n x="85"/>
        <n x="242" s="1"/>
      </t>
    </mdx>
    <mdx n="0" f="v">
      <t c="4" si="29">
        <n x="240"/>
        <n x="31"/>
        <n x="49"/>
        <n x="242" s="1"/>
      </t>
    </mdx>
    <mdx n="0" f="v">
      <t c="4" si="29">
        <n x="240"/>
        <n x="31"/>
        <n x="106"/>
        <n x="242" s="1"/>
      </t>
    </mdx>
    <mdx n="0" f="v">
      <t c="4" si="33">
        <n x="241"/>
        <n x="30"/>
        <n x="155"/>
        <n x="242" s="1"/>
      </t>
    </mdx>
    <mdx n="0" f="v">
      <t c="4" si="29">
        <n x="241"/>
        <n x="31"/>
        <n x="98"/>
        <n x="242" s="1"/>
      </t>
    </mdx>
    <mdx n="0" f="v">
      <t c="4" si="29">
        <n x="240"/>
        <n x="31"/>
        <n x="174"/>
        <n x="242" s="1"/>
      </t>
    </mdx>
    <mdx n="0" f="v">
      <t c="4" si="33">
        <n x="240"/>
        <n x="30"/>
        <n x="84"/>
        <n x="242" s="1"/>
      </t>
    </mdx>
    <mdx n="0" f="v">
      <t c="4" si="29">
        <n x="240"/>
        <n x="17"/>
        <n x="142"/>
        <n x="242" s="1"/>
      </t>
    </mdx>
    <mdx n="0" f="v">
      <t c="4" si="29">
        <n x="241"/>
        <n x="17"/>
        <n x="125"/>
        <n x="242" s="1"/>
      </t>
    </mdx>
    <mdx n="0" f="v">
      <t c="4" si="29">
        <n x="241"/>
        <n x="17"/>
        <n x="101"/>
        <n x="242" s="1"/>
      </t>
    </mdx>
    <mdx n="0" f="v">
      <t c="4" si="33">
        <n x="240"/>
        <n x="32"/>
        <n x="140"/>
        <n x="242" s="1"/>
      </t>
    </mdx>
    <mdx n="0" f="v">
      <t c="4" si="29">
        <n x="240"/>
        <n x="31"/>
        <n x="153"/>
        <n x="242" s="1"/>
      </t>
    </mdx>
    <mdx n="0" f="v">
      <t c="4" si="33">
        <n x="240"/>
        <n x="30"/>
        <n x="88"/>
        <n x="242" s="1"/>
      </t>
    </mdx>
    <mdx n="0" f="v">
      <t c="4" si="29">
        <n x="241"/>
        <n x="17"/>
        <n x="119"/>
        <n x="242" s="1"/>
      </t>
    </mdx>
    <mdx n="0" f="v">
      <t c="4" si="33">
        <n x="240"/>
        <n x="30"/>
        <n x="187"/>
        <n x="242" s="1"/>
      </t>
    </mdx>
    <mdx n="0" f="v">
      <t c="4" si="33">
        <n x="240"/>
        <n x="30"/>
        <n x="199"/>
        <n x="242" s="1"/>
      </t>
    </mdx>
    <mdx n="0" f="v">
      <t c="4" si="29">
        <n x="240"/>
        <n x="31"/>
        <n x="121"/>
        <n x="242" s="1"/>
      </t>
    </mdx>
    <mdx n="0" f="v">
      <t c="4" si="29">
        <n x="241"/>
        <n x="17"/>
        <n x="90"/>
        <n x="242" s="1"/>
      </t>
    </mdx>
    <mdx n="0" f="v">
      <t c="4" si="29">
        <n x="240"/>
        <n x="31"/>
        <n x="132"/>
        <n x="242" s="1"/>
      </t>
    </mdx>
    <mdx n="0" f="v">
      <t c="4" si="33">
        <n x="241"/>
        <n x="32"/>
        <n x="198"/>
        <n x="242" s="1"/>
      </t>
    </mdx>
    <mdx n="0" f="v">
      <t c="4" si="33">
        <n x="241"/>
        <n x="30"/>
        <n x="44"/>
        <n x="242" s="1"/>
      </t>
    </mdx>
    <mdx n="0" f="v">
      <t c="4" si="29">
        <n x="240"/>
        <n x="31"/>
        <n x="124"/>
        <n x="242" s="1"/>
      </t>
    </mdx>
    <mdx n="0" f="v">
      <t c="4" si="29">
        <n x="240"/>
        <n x="31"/>
        <n x="141"/>
        <n x="242" s="1"/>
      </t>
    </mdx>
    <mdx n="0" f="v">
      <t c="4" si="33">
        <n x="240"/>
        <n x="30"/>
        <n x="174"/>
        <n x="242" s="1"/>
      </t>
    </mdx>
    <mdx n="0" f="v">
      <t c="4" si="33">
        <n x="240"/>
        <n x="32"/>
        <n x="148"/>
        <n x="242" s="1"/>
      </t>
    </mdx>
    <mdx n="0" f="v">
      <t c="4" si="33">
        <n x="241"/>
        <n x="30"/>
        <n x="156"/>
        <n x="242" s="1"/>
      </t>
    </mdx>
    <mdx n="0" f="v">
      <t c="4" si="29">
        <n x="241"/>
        <n x="17"/>
        <n x="157"/>
        <n x="242" s="1"/>
      </t>
    </mdx>
    <mdx n="0" f="v">
      <t c="4" si="29">
        <n x="240"/>
        <n x="31"/>
        <n x="167"/>
        <n x="242" s="1"/>
      </t>
    </mdx>
    <mdx n="0" f="v">
      <t c="4" si="33">
        <n x="240"/>
        <n x="32"/>
        <n x="113"/>
        <n x="242" s="1"/>
      </t>
    </mdx>
    <mdx n="0" f="v">
      <t c="4" si="29">
        <n x="241"/>
        <n x="31"/>
        <n x="101"/>
        <n x="242" s="1"/>
      </t>
    </mdx>
    <mdx n="0" f="v">
      <t c="4" si="33">
        <n x="241"/>
        <n x="32"/>
        <n x="154"/>
        <n x="242" s="1"/>
      </t>
    </mdx>
    <mdx n="0" f="v">
      <t c="4" si="33">
        <n x="240"/>
        <n x="32"/>
        <n x="183"/>
        <n x="242" s="1"/>
      </t>
    </mdx>
    <mdx n="0" f="v">
      <t c="4" si="33">
        <n x="241"/>
        <n x="30"/>
        <n x="107"/>
        <n x="242" s="1"/>
      </t>
    </mdx>
    <mdx n="0" f="v">
      <t c="4" si="29">
        <n x="241"/>
        <n x="17"/>
        <n x="183"/>
        <n x="242" s="1"/>
      </t>
    </mdx>
    <mdx n="0" f="v">
      <t c="4" si="33">
        <n x="240"/>
        <n x="32"/>
        <n x="109"/>
        <n x="242" s="1"/>
      </t>
    </mdx>
    <mdx n="0" f="v">
      <t c="4" si="33">
        <n x="240"/>
        <n x="32"/>
        <n x="50"/>
        <n x="242" s="1"/>
      </t>
    </mdx>
    <mdx n="0" f="v">
      <t c="4" si="29">
        <n x="241"/>
        <n x="31"/>
        <n x="105"/>
        <n x="242" s="1"/>
      </t>
    </mdx>
    <mdx n="0" f="v">
      <t c="4" si="33">
        <n x="241"/>
        <n x="30"/>
        <n x="146"/>
        <n x="242" s="1"/>
      </t>
    </mdx>
    <mdx n="0" f="v">
      <t c="4" si="29">
        <n x="240"/>
        <n x="31"/>
        <n x="90"/>
        <n x="242" s="1"/>
      </t>
    </mdx>
    <mdx n="0" f="v">
      <t c="4" si="29">
        <n x="240"/>
        <n x="17"/>
        <n x="46"/>
        <n x="242" s="1"/>
      </t>
    </mdx>
    <mdx n="0" f="v">
      <t c="4" si="29">
        <n x="241"/>
        <n x="31"/>
        <n x="196"/>
        <n x="242" s="1"/>
      </t>
    </mdx>
    <mdx n="0" f="v">
      <t c="4" si="33">
        <n x="241"/>
        <n x="30"/>
        <n x="145"/>
        <n x="242" s="1"/>
      </t>
    </mdx>
    <mdx n="0" f="v">
      <t c="4" si="29">
        <n x="241"/>
        <n x="31"/>
        <n x="171"/>
        <n x="242" s="1"/>
      </t>
    </mdx>
    <mdx n="0" f="v">
      <t c="4" si="29">
        <n x="241"/>
        <n x="31"/>
        <n x="128"/>
        <n x="242" s="1"/>
      </t>
    </mdx>
    <mdx n="0" f="v">
      <t c="4" si="29">
        <n x="241"/>
        <n x="17"/>
        <n x="53"/>
        <n x="242" s="1"/>
      </t>
    </mdx>
    <mdx n="0" f="v">
      <t c="4" si="33">
        <n x="240"/>
        <n x="30"/>
        <n x="200"/>
        <n x="242" s="1"/>
      </t>
    </mdx>
    <mdx n="0" f="v">
      <t c="4" si="29">
        <n x="240"/>
        <n x="17"/>
        <n x="108"/>
        <n x="242" s="1"/>
      </t>
    </mdx>
    <mdx n="0" f="v">
      <t c="4" si="33">
        <n x="241"/>
        <n x="32"/>
        <n x="107"/>
        <n x="242" s="1"/>
      </t>
    </mdx>
    <mdx n="0" f="v">
      <t c="4" si="29">
        <n x="240"/>
        <n x="31"/>
        <n x="194"/>
        <n x="242" s="1"/>
      </t>
    </mdx>
    <mdx n="0" f="v">
      <t c="4" si="29">
        <n x="241"/>
        <n x="31"/>
        <n x="142"/>
        <n x="242" s="1"/>
      </t>
    </mdx>
    <mdx n="0" f="v">
      <t c="4" si="29">
        <n x="240"/>
        <n x="17"/>
        <n x="198"/>
        <n x="242" s="1"/>
      </t>
    </mdx>
    <mdx n="0" f="v">
      <t c="4" si="33">
        <n x="240"/>
        <n x="30"/>
        <n x="99"/>
        <n x="242" s="1"/>
      </t>
    </mdx>
    <mdx n="0" f="v">
      <t c="4" si="29">
        <n x="241"/>
        <n x="17"/>
        <n x="42"/>
        <n x="242" s="1"/>
      </t>
    </mdx>
    <mdx n="0" f="v">
      <t c="4" si="33">
        <n x="241"/>
        <n x="30"/>
        <n x="133"/>
        <n x="242" s="1"/>
      </t>
    </mdx>
    <mdx n="0" f="v">
      <t c="4" si="29">
        <n x="240"/>
        <n x="17"/>
        <n x="144"/>
        <n x="242" s="1"/>
      </t>
    </mdx>
    <mdx n="0" f="v">
      <t c="4" si="29">
        <n x="241"/>
        <n x="17"/>
        <n x="40"/>
        <n x="242" s="1"/>
      </t>
    </mdx>
    <mdx n="0" f="v">
      <t c="4" si="33">
        <n x="240"/>
        <n x="32"/>
        <n x="87"/>
        <n x="242" s="1"/>
      </t>
    </mdx>
    <mdx n="0" f="v">
      <t c="4" si="29">
        <n x="240"/>
        <n x="31"/>
        <n x="95"/>
        <n x="242" s="1"/>
      </t>
    </mdx>
    <mdx n="0" f="v">
      <t c="4" si="29">
        <n x="240"/>
        <n x="17"/>
        <n x="136"/>
        <n x="242" s="1"/>
      </t>
    </mdx>
    <mdx n="0" f="v">
      <t c="4" si="33">
        <n x="240"/>
        <n x="30"/>
        <n x="135"/>
        <n x="242" s="1"/>
      </t>
    </mdx>
    <mdx n="0" f="v">
      <t c="4" si="29">
        <n x="240"/>
        <n x="17"/>
        <n x="169"/>
        <n x="242" s="1"/>
      </t>
    </mdx>
    <mdx n="0" f="v">
      <t c="4" si="29">
        <n x="240"/>
        <n x="179"/>
        <n x="17"/>
        <n x="242" s="1"/>
      </t>
    </mdx>
    <mdx n="0" f="v">
      <t c="4" si="29">
        <n x="240"/>
        <n x="31"/>
        <n x="166"/>
        <n x="242" s="1"/>
      </t>
    </mdx>
    <mdx n="0" f="v">
      <t c="4" si="33">
        <n x="241"/>
        <n x="30"/>
        <n x="113"/>
        <n x="242" s="1"/>
      </t>
    </mdx>
    <mdx n="0" f="v">
      <t c="4" si="29">
        <n x="241"/>
        <n x="17"/>
        <n x="50"/>
        <n x="242" s="1"/>
      </t>
    </mdx>
    <mdx n="0" f="v">
      <t c="4" si="29">
        <n x="241"/>
        <n x="31"/>
        <n x="94"/>
        <n x="242" s="1"/>
      </t>
    </mdx>
    <mdx n="0" f="v">
      <t c="4" si="29">
        <n x="240"/>
        <n x="31"/>
        <n x="91"/>
        <n x="242" s="1"/>
      </t>
    </mdx>
    <mdx n="0" f="v">
      <t c="4" si="29">
        <n x="241"/>
        <n x="31"/>
        <n x="106"/>
        <n x="242" s="1"/>
      </t>
    </mdx>
    <mdx n="0" f="v">
      <t c="4" si="33">
        <n x="240"/>
        <n x="30"/>
        <n x="148"/>
        <n x="242" s="1"/>
      </t>
    </mdx>
    <mdx n="0" f="v">
      <t c="4" si="29">
        <n x="241"/>
        <n x="31"/>
        <n x="197"/>
        <n x="242" s="1"/>
      </t>
    </mdx>
    <mdx n="0" f="v">
      <t c="4" si="33">
        <n x="240"/>
        <n x="32"/>
        <n x="132"/>
        <n x="242" s="1"/>
      </t>
    </mdx>
    <mdx n="0" f="v">
      <t c="4" si="33">
        <n x="240"/>
        <n x="32"/>
        <n x="141"/>
        <n x="242" s="1"/>
      </t>
    </mdx>
    <mdx n="0" f="v">
      <t c="4" si="29">
        <n x="240"/>
        <n x="17"/>
        <n x="173"/>
        <n x="242" s="1"/>
      </t>
    </mdx>
    <mdx n="0" f="v">
      <t c="4" si="29">
        <n x="240"/>
        <n x="31"/>
        <n x="101"/>
        <n x="242" s="1"/>
      </t>
    </mdx>
    <mdx n="0" f="v">
      <t c="4" si="33">
        <n x="240"/>
        <n x="30"/>
        <n x="146"/>
        <n x="242" s="1"/>
      </t>
    </mdx>
    <mdx n="0" f="v">
      <t c="4" si="33">
        <n x="240"/>
        <n x="32"/>
        <n x="194"/>
        <n x="242" s="1"/>
      </t>
    </mdx>
    <mdx n="0" f="v">
      <t c="4" si="29">
        <n x="241"/>
        <n x="17"/>
        <n x="91"/>
        <n x="242" s="1"/>
      </t>
    </mdx>
    <mdx n="0" f="v">
      <t c="4" si="29">
        <n x="240"/>
        <n x="17"/>
        <n x="153"/>
        <n x="242" s="1"/>
      </t>
    </mdx>
    <mdx n="0" f="v">
      <t c="4" si="33">
        <n x="240"/>
        <n x="32"/>
        <n x="115"/>
        <n x="242" s="1"/>
      </t>
    </mdx>
    <mdx n="0" f="v">
      <t c="4" si="29">
        <n x="241"/>
        <n x="31"/>
        <n x="52"/>
        <n x="242" s="1"/>
      </t>
    </mdx>
    <mdx n="0" f="v">
      <t c="4" si="29">
        <n x="241"/>
        <n x="31"/>
        <n x="167"/>
        <n x="242" s="1"/>
      </t>
    </mdx>
    <mdx n="0" f="v">
      <t c="4" si="33">
        <n x="240"/>
        <n x="30"/>
        <n x="36"/>
        <n x="242" s="1"/>
      </t>
    </mdx>
    <mdx n="0" f="v">
      <t c="4" si="33">
        <n x="241"/>
        <n x="30"/>
        <n x="42"/>
        <n x="242" s="1"/>
      </t>
    </mdx>
    <mdx n="0" f="v">
      <t c="4" si="33">
        <n x="241"/>
        <n x="30"/>
        <n x="91"/>
        <n x="242" s="1"/>
      </t>
    </mdx>
    <mdx n="0" f="v">
      <t c="4" si="33">
        <n x="241"/>
        <n x="30"/>
        <n x="92"/>
        <n x="242" s="1"/>
      </t>
    </mdx>
    <mdx n="0" f="v">
      <t c="4" si="29">
        <n x="241"/>
        <n x="31"/>
        <n x="143"/>
        <n x="242" s="1"/>
      </t>
    </mdx>
    <mdx n="0" f="v">
      <t c="4" si="29">
        <n x="240"/>
        <n x="31"/>
        <n x="190"/>
        <n x="242" s="1"/>
      </t>
    </mdx>
    <mdx n="0" f="v">
      <t c="4" si="29">
        <n x="241"/>
        <n x="31"/>
        <n x="181"/>
        <n x="242" s="1"/>
      </t>
    </mdx>
    <mdx n="0" f="v">
      <t c="4" si="29">
        <n x="241"/>
        <n x="31"/>
        <n x="159"/>
        <n x="242" s="1"/>
      </t>
    </mdx>
    <mdx n="0" f="v">
      <t c="4" si="29">
        <n x="240"/>
        <n x="31"/>
        <n x="129"/>
        <n x="242" s="1"/>
      </t>
    </mdx>
    <mdx n="0" f="v">
      <t c="4" si="29">
        <n x="240"/>
        <n x="31"/>
        <n x="169"/>
        <n x="242" s="1"/>
      </t>
    </mdx>
    <mdx n="0" f="v">
      <t c="4" si="33">
        <n x="241"/>
        <n x="32"/>
        <n x="98"/>
        <n x="242" s="1"/>
      </t>
    </mdx>
    <mdx n="0" f="v">
      <t c="4" si="29">
        <n x="241"/>
        <n x="31"/>
        <n x="83"/>
        <n x="242" s="1"/>
      </t>
    </mdx>
    <mdx n="0" f="v">
      <t c="4" si="29">
        <n x="240"/>
        <n x="31"/>
        <n x="50"/>
        <n x="242" s="1"/>
      </t>
    </mdx>
    <mdx n="0" f="v">
      <t c="4" si="29">
        <n x="241"/>
        <n x="31"/>
        <n x="165"/>
        <n x="242" s="1"/>
      </t>
    </mdx>
    <mdx n="0" f="v">
      <t c="4" si="29">
        <n x="241"/>
        <n x="31"/>
        <n x="160"/>
        <n x="242" s="1"/>
      </t>
    </mdx>
    <mdx n="0" f="v">
      <t c="4" si="29">
        <n x="240"/>
        <n x="31"/>
        <n x="89"/>
        <n x="242" s="1"/>
      </t>
    </mdx>
    <mdx n="0" f="v">
      <t c="4" si="29">
        <n x="240"/>
        <n x="17"/>
        <n x="171"/>
        <n x="242" s="1"/>
      </t>
    </mdx>
    <mdx n="0" f="v">
      <t c="4" si="29">
        <n x="241"/>
        <n x="31"/>
        <n x="155"/>
        <n x="242" s="1"/>
      </t>
    </mdx>
    <mdx n="0" f="v">
      <t c="4" si="29">
        <n x="240"/>
        <n x="49"/>
        <n x="17"/>
        <n x="242" s="1"/>
      </t>
    </mdx>
    <mdx n="0" f="v">
      <t c="4" si="33">
        <n x="240"/>
        <n x="30"/>
        <n x="38"/>
        <n x="242" s="1"/>
      </t>
    </mdx>
    <mdx n="0" f="v">
      <t c="4" si="33">
        <n x="241"/>
        <n x="30"/>
        <n x="46"/>
        <n x="242" s="1"/>
      </t>
    </mdx>
    <mdx n="0" f="v">
      <t c="4" si="33">
        <n x="241"/>
        <n x="30"/>
        <n x="105"/>
        <n x="242" s="1"/>
      </t>
    </mdx>
    <mdx n="0" f="v">
      <t c="4" si="33">
        <n x="240"/>
        <n x="32"/>
        <n x="130"/>
        <n x="242" s="1"/>
      </t>
    </mdx>
    <mdx n="0" f="v">
      <t c="4" si="29">
        <n x="240"/>
        <n x="31"/>
        <n x="37"/>
        <n x="242" s="1"/>
      </t>
    </mdx>
    <mdx n="0" f="v">
      <t c="4" si="29">
        <n x="241"/>
        <n x="31"/>
        <n x="200"/>
        <n x="242" s="1"/>
      </t>
    </mdx>
    <mdx n="0" f="v">
      <t c="4" si="33">
        <n x="241"/>
        <n x="30"/>
        <n x="126"/>
        <n x="242" s="1"/>
      </t>
    </mdx>
    <mdx n="0" f="v">
      <t c="4" si="29">
        <n x="240"/>
        <n x="31"/>
        <n x="200"/>
        <n x="242" s="1"/>
      </t>
    </mdx>
    <mdx n="0" f="v">
      <t c="4" si="29">
        <n x="240"/>
        <n x="17"/>
        <n x="107"/>
        <n x="242" s="1"/>
      </t>
    </mdx>
    <mdx n="0" f="v">
      <t c="4" si="29">
        <n x="240"/>
        <n x="17"/>
        <n x="116"/>
        <n x="242" s="1"/>
      </t>
    </mdx>
    <mdx n="0" f="v">
      <t c="4" si="29">
        <n x="241"/>
        <n x="31"/>
        <n x="112"/>
        <n x="242" s="1"/>
      </t>
    </mdx>
    <mdx n="0" f="v">
      <t c="4" si="33">
        <n x="240"/>
        <n x="32"/>
        <n x="90"/>
        <n x="242" s="1"/>
      </t>
    </mdx>
    <mdx n="0" f="v">
      <t c="4" si="33">
        <n x="241"/>
        <n x="32"/>
        <n x="185"/>
        <n x="242" s="1"/>
      </t>
    </mdx>
    <mdx n="0" f="v">
      <t c="4" si="29">
        <n x="240"/>
        <n x="17"/>
        <n x="155"/>
        <n x="242" s="1"/>
      </t>
    </mdx>
    <mdx n="0" f="v">
      <t c="4" si="29">
        <n x="241"/>
        <n x="17"/>
        <n x="199"/>
        <n x="242" s="1"/>
      </t>
    </mdx>
    <mdx n="0" f="v">
      <t c="4" si="29">
        <n x="241"/>
        <n x="17"/>
        <n x="174"/>
        <n x="242" s="1"/>
      </t>
    </mdx>
    <mdx n="0" f="v">
      <t c="4" si="33">
        <n x="241"/>
        <n x="32"/>
        <n x="158"/>
        <n x="242" s="1"/>
      </t>
    </mdx>
    <mdx n="0" f="v">
      <t c="4" si="29">
        <n x="241"/>
        <n x="17"/>
        <n x="198"/>
        <n x="242" s="1"/>
      </t>
    </mdx>
    <mdx n="0" f="v">
      <t c="4" si="33">
        <n x="240"/>
        <n x="32"/>
        <n x="112"/>
        <n x="242" s="1"/>
      </t>
    </mdx>
    <mdx n="0" f="v">
      <t c="4" si="29">
        <n x="240"/>
        <n x="31"/>
        <n x="199"/>
        <n x="242" s="1"/>
      </t>
    </mdx>
    <mdx n="0" f="v">
      <t c="4" si="29">
        <n x="241"/>
        <n x="17"/>
        <n x="152"/>
        <n x="242" s="1"/>
      </t>
    </mdx>
    <mdx n="0" f="v">
      <t c="4" si="29">
        <n x="240"/>
        <n x="17"/>
        <n x="161"/>
        <n x="242" s="1"/>
      </t>
    </mdx>
    <mdx n="0" f="v">
      <t c="4" si="29">
        <n x="240"/>
        <n x="17"/>
        <n x="146"/>
        <n x="242" s="1"/>
      </t>
    </mdx>
    <mdx n="0" f="v">
      <t c="4" si="33">
        <n x="240"/>
        <n x="32"/>
        <n x="85"/>
        <n x="242" s="1"/>
      </t>
    </mdx>
    <mdx n="0" f="v">
      <t c="4" si="33">
        <n x="240"/>
        <n x="32"/>
        <n x="168"/>
        <n x="242" s="1"/>
      </t>
    </mdx>
    <mdx n="0" f="v">
      <t c="4" si="33">
        <n x="241"/>
        <n x="30"/>
        <n x="185"/>
        <n x="242" s="1"/>
      </t>
    </mdx>
    <mdx n="0" f="v">
      <t c="4" si="33">
        <n x="240"/>
        <n x="32"/>
        <n x="38"/>
        <n x="242" s="1"/>
      </t>
    </mdx>
    <mdx n="0" f="v">
      <t c="4" si="33">
        <n x="241"/>
        <n x="30"/>
        <n x="96"/>
        <n x="242" s="1"/>
      </t>
    </mdx>
    <mdx n="0" f="v">
      <t c="4" si="29">
        <n x="240"/>
        <n x="17"/>
        <n x="143"/>
        <n x="242" s="1"/>
      </t>
    </mdx>
    <mdx n="0" f="v">
      <t c="4" si="33">
        <n x="240"/>
        <n x="30"/>
        <n x="46"/>
        <n x="242" s="1"/>
      </t>
    </mdx>
    <mdx n="0" f="v">
      <t c="4" si="33">
        <n x="241"/>
        <n x="30"/>
        <n x="197"/>
        <n x="242" s="1"/>
      </t>
    </mdx>
    <mdx n="0" f="v">
      <t c="4" si="29">
        <n x="240"/>
        <n x="17"/>
        <n x="139"/>
        <n x="242" s="1"/>
      </t>
    </mdx>
    <mdx n="0" f="v">
      <t c="4" si="33">
        <n x="241"/>
        <n x="32"/>
        <n x="110"/>
        <n x="242" s="1"/>
      </t>
    </mdx>
    <mdx n="0" f="v">
      <t c="4" si="33">
        <n x="241"/>
        <n x="30"/>
        <n x="112"/>
        <n x="242" s="1"/>
      </t>
    </mdx>
    <mdx n="0" f="v">
      <t c="4" si="29">
        <n x="241"/>
        <n x="31"/>
        <n x="121"/>
        <n x="242" s="1"/>
      </t>
    </mdx>
    <mdx n="0" f="v">
      <t c="4" si="29">
        <n x="240"/>
        <n x="17"/>
        <n x="168"/>
        <n x="242" s="1"/>
      </t>
    </mdx>
    <mdx n="0" f="v">
      <t c="4" si="33">
        <n x="241"/>
        <n x="32"/>
        <n x="119"/>
        <n x="242" s="1"/>
      </t>
    </mdx>
    <mdx n="0" f="v">
      <t c="4" si="33">
        <n x="241"/>
        <n x="30"/>
        <n x="111"/>
        <n x="242" s="1"/>
      </t>
    </mdx>
    <mdx n="0" f="v">
      <t c="4" si="33">
        <n x="241"/>
        <n x="30"/>
        <n x="158"/>
        <n x="242" s="1"/>
      </t>
    </mdx>
    <mdx n="0" f="v">
      <t c="4" si="33">
        <n x="240"/>
        <n x="32"/>
        <n x="125"/>
        <n x="242" s="1"/>
      </t>
    </mdx>
    <mdx n="0" f="v">
      <t c="4" si="33">
        <n x="240"/>
        <n x="30"/>
        <n x="160"/>
        <n x="242" s="1"/>
      </t>
    </mdx>
    <mdx n="0" f="v">
      <t c="4" si="29">
        <n x="240"/>
        <n x="31"/>
        <n x="139"/>
        <n x="242" s="1"/>
      </t>
    </mdx>
    <mdx n="0" f="v">
      <t c="4" si="29">
        <n x="240"/>
        <n x="31"/>
        <n x="145"/>
        <n x="242" s="1"/>
      </t>
    </mdx>
    <mdx n="0" f="v">
      <t c="4" si="33">
        <n x="241"/>
        <n x="30"/>
        <n x="199"/>
        <n x="242" s="1"/>
      </t>
    </mdx>
    <mdx n="0" f="v">
      <t c="4" si="29">
        <n x="240"/>
        <n x="17"/>
        <n x="134"/>
        <n x="242" s="1"/>
      </t>
    </mdx>
    <mdx n="0" f="v">
      <t c="4" si="29">
        <n x="241"/>
        <n x="17"/>
        <n x="124"/>
        <n x="242" s="1"/>
      </t>
    </mdx>
    <mdx n="0" f="v">
      <t c="4" si="29">
        <n x="240"/>
        <n x="31"/>
        <n x="42"/>
        <n x="242" s="1"/>
      </t>
    </mdx>
    <mdx n="0" f="v">
      <t c="4" si="29">
        <n x="241"/>
        <n x="17"/>
        <n x="38"/>
        <n x="242" s="1"/>
      </t>
    </mdx>
    <mdx n="0" f="v">
      <t c="4" si="33">
        <n x="241"/>
        <n x="30"/>
        <n x="90"/>
        <n x="242" s="1"/>
      </t>
    </mdx>
    <mdx n="0" f="v">
      <t c="4" si="29">
        <n x="241"/>
        <n x="31"/>
        <n x="45"/>
        <n x="242" s="1"/>
      </t>
    </mdx>
    <mdx n="0" f="v">
      <t c="4" si="29">
        <n x="241"/>
        <n x="31"/>
        <n x="49"/>
        <n x="242" s="1"/>
      </t>
    </mdx>
    <mdx n="0" f="v">
      <t c="4" si="33">
        <n x="240"/>
        <n x="32"/>
        <n x="174"/>
        <n x="242" s="1"/>
      </t>
    </mdx>
    <mdx n="0" f="v">
      <t c="4" si="29">
        <n x="240"/>
        <n x="17"/>
        <n x="101"/>
        <n x="242" s="1"/>
      </t>
    </mdx>
    <mdx n="0" f="v">
      <t c="4" si="33">
        <n x="241"/>
        <n x="30"/>
        <n x="119"/>
        <n x="242" s="1"/>
      </t>
    </mdx>
    <mdx n="0" f="v">
      <t c="4" si="33">
        <n x="241"/>
        <n x="32"/>
        <n x="127"/>
        <n x="242" s="1"/>
      </t>
    </mdx>
    <mdx n="0" f="v">
      <t c="4" si="29">
        <n x="241"/>
        <n x="31"/>
        <n x="124"/>
        <n x="242" s="1"/>
      </t>
    </mdx>
    <mdx n="0" f="v">
      <t c="4" si="29">
        <n x="241"/>
        <n x="17"/>
        <n x="156"/>
        <n x="242" s="1"/>
      </t>
    </mdx>
    <mdx n="0" f="v">
      <t c="4" si="29">
        <n x="241"/>
        <n x="31"/>
        <n x="113"/>
        <n x="242" s="1"/>
      </t>
    </mdx>
    <mdx n="0" f="v">
      <t c="4" si="29">
        <n x="240"/>
        <n x="31"/>
        <n x="116"/>
        <n x="242" s="1"/>
      </t>
    </mdx>
    <mdx n="0" f="v">
      <t c="4" si="33">
        <n x="240"/>
        <n x="32"/>
        <n x="105"/>
        <n x="242" s="1"/>
      </t>
    </mdx>
    <mdx n="0" f="v">
      <t c="4" si="29">
        <n x="240"/>
        <n x="17"/>
        <n x="201"/>
        <n x="242" s="1"/>
      </t>
    </mdx>
    <mdx n="0" f="v">
      <t c="4" si="33">
        <n x="240"/>
        <n x="32"/>
        <n x="128"/>
        <n x="242" s="1"/>
      </t>
    </mdx>
    <mdx n="0" f="v">
      <t c="4" si="29">
        <n x="241"/>
        <n x="17"/>
        <n x="135"/>
        <n x="242" s="1"/>
      </t>
    </mdx>
    <mdx n="0" f="v">
      <t c="4" si="29">
        <n x="240"/>
        <n x="17"/>
        <n x="99"/>
        <n x="242" s="1"/>
      </t>
    </mdx>
    <mdx n="0" f="v">
      <t c="4" si="29">
        <n x="240"/>
        <n x="17"/>
        <n x="133"/>
        <n x="242" s="1"/>
      </t>
    </mdx>
    <mdx n="0" f="v">
      <t c="4" si="29">
        <n x="241"/>
        <n x="31"/>
        <n x="92"/>
        <n x="242" s="1"/>
      </t>
    </mdx>
    <mdx n="0" f="v">
      <t c="4" si="33">
        <n x="240"/>
        <n x="30"/>
        <n x="100"/>
        <n x="242" s="1"/>
      </t>
    </mdx>
    <mdx n="0" f="v">
      <t c="4" si="33">
        <n x="240"/>
        <n x="32"/>
        <n x="40"/>
        <n x="242" s="1"/>
      </t>
    </mdx>
    <mdx n="0" f="v">
      <t c="4" si="33">
        <n x="241"/>
        <n x="30"/>
        <n x="139"/>
        <n x="242" s="1"/>
      </t>
    </mdx>
    <mdx n="0" f="v">
      <t c="4" si="33">
        <n x="241"/>
        <n x="30"/>
        <n x="134"/>
        <n x="242" s="1"/>
      </t>
    </mdx>
    <mdx n="0" f="v">
      <t c="4" si="33">
        <n x="240"/>
        <n x="32"/>
        <n x="89"/>
        <n x="242" s="1"/>
      </t>
    </mdx>
    <mdx n="0" f="v">
      <t c="4" si="33">
        <n x="240"/>
        <n x="32"/>
        <n x="110"/>
        <n x="242" s="1"/>
      </t>
    </mdx>
    <mdx n="0" f="v">
      <t c="4" si="29">
        <n x="241"/>
        <n x="17"/>
        <n x="151"/>
        <n x="242" s="1"/>
      </t>
    </mdx>
    <mdx n="0" f="v">
      <t c="4" si="33">
        <n x="241"/>
        <n x="30"/>
        <n x="106"/>
        <n x="242" s="1"/>
      </t>
    </mdx>
    <mdx n="0" f="v">
      <t c="4" si="29">
        <n x="241"/>
        <n x="17"/>
        <n x="171"/>
        <n x="242" s="1"/>
      </t>
    </mdx>
    <mdx n="0" f="v">
      <t c="4" si="29">
        <n x="240"/>
        <n x="31"/>
        <n x="108"/>
        <n x="242" s="1"/>
      </t>
    </mdx>
    <mdx n="0" f="v">
      <t c="4" si="33">
        <n x="240"/>
        <n x="30"/>
        <n x="183"/>
        <n x="242" s="1"/>
      </t>
    </mdx>
    <mdx n="0" f="v">
      <t c="4" si="29">
        <n x="240"/>
        <n x="17"/>
        <n x="145"/>
        <n x="242" s="1"/>
      </t>
    </mdx>
    <mdx n="0" f="v">
      <t c="4" si="33">
        <n x="241"/>
        <n x="30"/>
        <n x="131"/>
        <n x="242" s="1"/>
      </t>
    </mdx>
    <mdx n="0" f="v">
      <t c="4" si="33">
        <n x="240"/>
        <n x="32"/>
        <n x="173"/>
        <n x="242" s="1"/>
      </t>
    </mdx>
    <mdx n="0" f="v">
      <t c="4" si="29">
        <n x="241"/>
        <n x="31"/>
        <n x="111"/>
        <n x="242" s="1"/>
      </t>
    </mdx>
    <mdx n="0" f="v">
      <t c="4" si="29">
        <n x="240"/>
        <n x="31"/>
        <n x="112"/>
        <n x="242" s="1"/>
      </t>
    </mdx>
    <mdx n="0" f="v">
      <t c="4" si="29">
        <n x="241"/>
        <n x="31"/>
        <n x="96"/>
        <n x="242" s="1"/>
      </t>
    </mdx>
    <mdx n="0" f="v">
      <t c="4" si="33">
        <n x="241"/>
        <n x="32"/>
        <n x="166"/>
        <n x="242" s="1"/>
      </t>
    </mdx>
    <mdx n="0" f="v">
      <t c="4" si="33">
        <n x="241"/>
        <n x="32"/>
        <n x="199"/>
        <n x="242" s="1"/>
      </t>
    </mdx>
    <mdx n="0" f="v">
      <t c="4" si="33">
        <n x="241"/>
        <n x="32"/>
        <n x="143"/>
        <n x="242" s="1"/>
      </t>
    </mdx>
    <mdx n="0" f="v">
      <t c="4" si="33">
        <n x="240"/>
        <n x="30"/>
        <n x="152"/>
        <n x="242" s="1"/>
      </t>
    </mdx>
    <mdx n="0" f="v">
      <t c="4" si="29">
        <n x="241"/>
        <n x="31"/>
        <n x="151"/>
        <n x="242" s="1"/>
      </t>
    </mdx>
    <mdx n="0" f="v">
      <t c="4" si="33">
        <n x="240"/>
        <n x="32"/>
        <n x="153"/>
        <n x="242" s="1"/>
      </t>
    </mdx>
    <mdx n="0" f="v">
      <t c="4" si="29">
        <n x="240"/>
        <n x="17"/>
        <n x="159"/>
        <n x="242" s="1"/>
      </t>
    </mdx>
    <mdx n="0" f="v">
      <t c="4" si="29">
        <n x="240"/>
        <n x="17"/>
        <n x="137"/>
        <n x="242" s="1"/>
      </t>
    </mdx>
    <mdx n="0" f="v">
      <t c="4" si="33">
        <n x="241"/>
        <n x="32"/>
        <n x="171"/>
        <n x="242" s="1"/>
      </t>
    </mdx>
    <mdx n="0" f="v">
      <t c="4" si="33">
        <n x="241"/>
        <n x="30"/>
        <n x="200"/>
        <n x="242" s="1"/>
      </t>
    </mdx>
    <mdx n="0" f="v">
      <t c="4" si="29">
        <n x="241"/>
        <n x="17"/>
        <n x="115"/>
        <n x="242" s="1"/>
      </t>
    </mdx>
    <mdx n="0" f="v">
      <t c="4" si="29">
        <n x="240"/>
        <n x="31"/>
        <n x="96"/>
        <n x="242" s="1"/>
      </t>
    </mdx>
    <mdx n="0" f="v">
      <t c="4" si="29">
        <n x="241"/>
        <n x="17"/>
        <n x="113"/>
        <n x="242" s="1"/>
      </t>
    </mdx>
    <mdx n="0" f="v">
      <t c="4" si="29">
        <n x="241"/>
        <n x="31"/>
        <n x="115"/>
        <n x="242" s="1"/>
      </t>
    </mdx>
    <mdx n="0" f="v">
      <t c="4" si="29">
        <n x="240"/>
        <n x="31"/>
        <n x="151"/>
        <n x="242" s="1"/>
      </t>
    </mdx>
    <mdx n="0" f="v">
      <t c="4" si="29">
        <n x="241"/>
        <n x="31"/>
        <n x="36"/>
        <n x="242" s="1"/>
      </t>
    </mdx>
    <mdx n="0" f="v">
      <t c="4" si="33">
        <n x="241"/>
        <n x="32"/>
        <n x="132"/>
        <n x="242" s="1"/>
      </t>
    </mdx>
    <mdx n="0" f="v">
      <t c="4" si="33">
        <n x="241"/>
        <n x="32"/>
        <n x="141"/>
        <n x="242" s="1"/>
      </t>
    </mdx>
    <mdx n="0" f="v">
      <t c="4" si="29">
        <n x="241"/>
        <n x="31"/>
        <n x="91"/>
        <n x="242" s="1"/>
      </t>
    </mdx>
    <mdx n="0" f="v">
      <t c="4" si="29">
        <n x="240"/>
        <n x="31"/>
        <n x="100"/>
        <n x="242" s="1"/>
      </t>
    </mdx>
    <mdx n="0" f="v">
      <t c="4" si="33">
        <n x="241"/>
        <n x="32"/>
        <n x="192"/>
        <n x="242" s="1"/>
      </t>
    </mdx>
    <mdx n="0" f="v">
      <t c="4" si="29">
        <n x="241"/>
        <n x="17"/>
        <n x="162"/>
        <n x="242" s="1"/>
      </t>
    </mdx>
    <mdx n="0" f="v">
      <t c="4" si="29">
        <n x="240"/>
        <n x="17"/>
        <n x="157"/>
        <n x="242" s="1"/>
      </t>
    </mdx>
    <mdx n="0" f="v">
      <t c="4" si="29">
        <n x="241"/>
        <n x="31"/>
        <n x="201"/>
        <n x="242" s="1"/>
      </t>
    </mdx>
    <mdx n="0" f="v">
      <t c="4" si="29">
        <n x="240"/>
        <n x="17"/>
        <n x="126"/>
        <n x="242" s="1"/>
      </t>
    </mdx>
    <mdx n="0" f="v">
      <t c="4" si="29">
        <n x="240"/>
        <n x="17"/>
        <n x="85"/>
        <n x="242" s="1"/>
      </t>
    </mdx>
    <mdx n="0" f="v">
      <t c="4" si="29">
        <n x="241"/>
        <n x="31"/>
        <n x="184"/>
        <n x="242" s="1"/>
      </t>
    </mdx>
    <mdx n="0" f="v">
      <t c="4" si="33">
        <n x="240"/>
        <n x="32"/>
        <n x="121"/>
        <n x="242" s="1"/>
      </t>
    </mdx>
    <mdx n="0" f="v">
      <t c="4" si="33">
        <n x="241"/>
        <n x="32"/>
        <n x="183"/>
        <n x="242" s="1"/>
      </t>
    </mdx>
    <mdx n="0" f="v">
      <t c="4" si="33">
        <n x="240"/>
        <n x="30"/>
        <n x="108"/>
        <n x="242" s="1"/>
      </t>
    </mdx>
    <mdx n="0" f="v">
      <t c="4" si="29">
        <n x="241"/>
        <n x="17"/>
        <n x="170"/>
        <n x="242" s="1"/>
      </t>
    </mdx>
    <mdx n="0" f="v">
      <t c="4" si="29">
        <n x="240"/>
        <n x="17"/>
        <n x="100"/>
        <n x="242" s="1"/>
      </t>
    </mdx>
    <mdx n="0" f="v">
      <t c="4" si="33">
        <n x="240"/>
        <n x="30"/>
        <n x="134"/>
        <n x="242" s="1"/>
      </t>
    </mdx>
    <mdx n="0" f="v">
      <t c="4" si="33">
        <n x="240"/>
        <n x="30"/>
        <n x="151"/>
        <n x="242" s="1"/>
      </t>
    </mdx>
    <mdx n="0" f="v">
      <t c="4" si="33">
        <n x="240"/>
        <n x="30"/>
        <n x="185"/>
        <n x="242" s="1"/>
      </t>
    </mdx>
    <mdx n="0" f="v">
      <t c="4" si="33">
        <n x="241"/>
        <n x="32"/>
        <n x="133"/>
        <n x="242" s="1"/>
      </t>
    </mdx>
    <mdx n="0" f="v">
      <t c="4" si="29">
        <n x="241"/>
        <n x="17"/>
        <n x="99"/>
        <n x="242" s="1"/>
      </t>
    </mdx>
    <mdx n="0" f="v">
      <t c="4" si="29">
        <n x="241"/>
        <n x="31"/>
        <n x="199"/>
        <n x="242" s="1"/>
      </t>
    </mdx>
    <mdx n="0" f="v">
      <t c="4" si="33">
        <n x="241"/>
        <n x="30"/>
        <n x="86"/>
        <n x="242" s="1"/>
      </t>
    </mdx>
    <mdx n="0" f="v">
      <t c="4" si="29">
        <n x="240"/>
        <n x="17"/>
        <n x="42"/>
        <n x="242" s="1"/>
      </t>
    </mdx>
    <mdx n="0" f="v">
      <t c="4" si="29">
        <n x="241"/>
        <n x="17"/>
        <n x="200"/>
        <n x="242" s="1"/>
      </t>
    </mdx>
    <mdx n="0" f="v">
      <t c="4" si="33">
        <n x="241"/>
        <n x="32"/>
        <n x="122"/>
        <n x="242" s="1"/>
      </t>
    </mdx>
    <mdx n="0" f="v">
      <t c="4" si="33">
        <n x="241"/>
        <n x="32"/>
        <n x="106"/>
        <n x="242" s="1"/>
      </t>
    </mdx>
    <mdx n="0" f="v">
      <t c="4" si="29">
        <n x="240"/>
        <n x="17"/>
        <n x="156"/>
        <n x="242" s="1"/>
      </t>
    </mdx>
    <mdx n="0" f="v">
      <t c="4" si="29">
        <n x="240"/>
        <n x="17"/>
        <n x="109"/>
        <n x="242" s="1"/>
      </t>
    </mdx>
    <mdx n="0" f="v">
      <t c="4" si="29">
        <n x="241"/>
        <n x="17"/>
        <n x="165"/>
        <n x="242" s="1"/>
      </t>
    </mdx>
    <mdx n="0" f="v">
      <t c="4" si="33">
        <n x="240"/>
        <n x="30"/>
        <n x="129"/>
        <n x="242" s="1"/>
      </t>
    </mdx>
    <mdx n="0" f="v">
      <t c="4" si="33">
        <n x="240"/>
        <n x="30"/>
        <n x="159"/>
        <n x="242" s="1"/>
      </t>
    </mdx>
    <mdx n="0" f="v">
      <t c="4" si="33">
        <n x="241"/>
        <n x="30"/>
        <n x="147"/>
        <n x="242" s="1"/>
      </t>
    </mdx>
    <mdx n="0" f="v">
      <t c="4" si="33">
        <n x="240"/>
        <n x="30"/>
        <n x="92"/>
        <n x="242" s="1"/>
      </t>
    </mdx>
    <mdx n="0" f="v">
      <t c="4" si="33">
        <n x="241"/>
        <n x="30"/>
        <n x="136"/>
        <n x="242" s="1"/>
      </t>
    </mdx>
    <mdx n="0" f="v">
      <t c="4" si="29">
        <n x="240"/>
        <n x="17"/>
        <n x="53"/>
        <n x="242" s="1"/>
      </t>
    </mdx>
    <mdx n="0" f="v">
      <t c="4" si="29">
        <n x="241"/>
        <n x="31"/>
        <n x="145"/>
        <n x="242" s="1"/>
      </t>
    </mdx>
    <mdx n="0" f="v">
      <t c="4" si="29">
        <n x="240"/>
        <n x="17"/>
        <n x="45"/>
        <n x="242" s="1"/>
      </t>
    </mdx>
    <mdx n="0" f="v">
      <t c="4" si="33">
        <n x="240"/>
        <n x="32"/>
        <n x="166"/>
        <n x="242" s="1"/>
      </t>
    </mdx>
    <mdx n="0" f="v">
      <t c="4" si="29">
        <n x="241"/>
        <n x="17"/>
        <n x="106"/>
        <n x="242" s="1"/>
      </t>
    </mdx>
    <mdx n="0" f="v">
      <t c="4" si="29">
        <n x="240"/>
        <n x="31"/>
        <n x="128"/>
        <n x="242" s="1"/>
      </t>
    </mdx>
    <mdx n="0" f="v">
      <t c="4" si="33">
        <n x="241"/>
        <n x="32"/>
        <n x="134"/>
        <n x="242" s="1"/>
      </t>
    </mdx>
    <mdx n="0" f="v">
      <t c="4" si="29">
        <n x="241"/>
        <n x="31"/>
        <n x="198"/>
        <n x="242" s="1"/>
      </t>
    </mdx>
    <mdx n="0" f="v">
      <t c="4" si="29">
        <n x="240"/>
        <n x="17"/>
        <n x="123"/>
        <n x="242" s="1"/>
      </t>
    </mdx>
    <mdx n="0" f="v">
      <t c="4" si="29">
        <n x="240"/>
        <n x="31"/>
        <n x="40"/>
        <n x="242" s="1"/>
      </t>
    </mdx>
    <mdx n="0" f="v">
      <t c="4" si="33">
        <n x="240"/>
        <n x="32"/>
        <n x="127"/>
        <n x="242" s="1"/>
      </t>
    </mdx>
    <mdx n="0" f="v">
      <t c="4" si="29">
        <n x="240"/>
        <n x="31"/>
        <n x="46"/>
        <n x="242" s="1"/>
      </t>
    </mdx>
    <mdx n="0" f="v">
      <t c="4" si="33">
        <n x="240"/>
        <n x="30"/>
        <n x="173"/>
        <n x="242" s="1"/>
      </t>
    </mdx>
    <mdx n="0" f="v">
      <t c="4" si="33">
        <n x="240"/>
        <n x="32"/>
        <n x="171"/>
        <n x="242" s="1"/>
      </t>
    </mdx>
    <mdx n="0" f="v">
      <t c="4" si="29">
        <n x="240"/>
        <n x="31"/>
        <n x="156"/>
        <n x="242" s="1"/>
      </t>
    </mdx>
    <mdx n="0" f="v">
      <t c="4" si="33">
        <n x="240"/>
        <n x="32"/>
        <n x="93"/>
        <n x="242" s="1"/>
      </t>
    </mdx>
    <mdx n="0" f="v">
      <t c="4" si="29">
        <n x="240"/>
        <n x="31"/>
        <n x="150"/>
        <n x="242" s="1"/>
      </t>
    </mdx>
    <mdx n="0" f="v">
      <t c="4" si="29">
        <n x="241"/>
        <n x="31"/>
        <n x="148"/>
        <n x="242" s="1"/>
      </t>
    </mdx>
    <mdx n="0" f="v">
      <t c="4" si="29">
        <n x="241"/>
        <n x="31"/>
        <n x="173"/>
        <n x="242" s="1"/>
      </t>
    </mdx>
    <mdx n="0" f="v">
      <t c="4" si="33">
        <n x="241"/>
        <n x="30"/>
        <n x="94"/>
        <n x="242" s="1"/>
      </t>
    </mdx>
  </mdxMetadata>
  <valueMetadata count="1940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  <bk>
      <rc t="1" v="154"/>
    </bk>
    <bk>
      <rc t="1" v="155"/>
    </bk>
    <bk>
      <rc t="1" v="156"/>
    </bk>
    <bk>
      <rc t="1" v="157"/>
    </bk>
    <bk>
      <rc t="1" v="158"/>
    </bk>
    <bk>
      <rc t="1" v="159"/>
    </bk>
    <bk>
      <rc t="1" v="160"/>
    </bk>
    <bk>
      <rc t="1" v="161"/>
    </bk>
    <bk>
      <rc t="1" v="162"/>
    </bk>
    <bk>
      <rc t="1" v="163"/>
    </bk>
    <bk>
      <rc t="1" v="164"/>
    </bk>
    <bk>
      <rc t="1" v="165"/>
    </bk>
    <bk>
      <rc t="1" v="166"/>
    </bk>
    <bk>
      <rc t="1" v="167"/>
    </bk>
    <bk>
      <rc t="1" v="168"/>
    </bk>
    <bk>
      <rc t="1" v="169"/>
    </bk>
    <bk>
      <rc t="1" v="170"/>
    </bk>
    <bk>
      <rc t="1" v="171"/>
    </bk>
    <bk>
      <rc t="1" v="172"/>
    </bk>
    <bk>
      <rc t="1" v="173"/>
    </bk>
    <bk>
      <rc t="1" v="174"/>
    </bk>
    <bk>
      <rc t="1" v="175"/>
    </bk>
    <bk>
      <rc t="1" v="176"/>
    </bk>
    <bk>
      <rc t="1" v="177"/>
    </bk>
    <bk>
      <rc t="1" v="178"/>
    </bk>
    <bk>
      <rc t="1" v="179"/>
    </bk>
    <bk>
      <rc t="1" v="180"/>
    </bk>
    <bk>
      <rc t="1" v="181"/>
    </bk>
    <bk>
      <rc t="1" v="182"/>
    </bk>
    <bk>
      <rc t="1" v="183"/>
    </bk>
    <bk>
      <rc t="1" v="184"/>
    </bk>
    <bk>
      <rc t="1" v="185"/>
    </bk>
    <bk>
      <rc t="1" v="186"/>
    </bk>
    <bk>
      <rc t="1" v="187"/>
    </bk>
    <bk>
      <rc t="1" v="188"/>
    </bk>
    <bk>
      <rc t="1" v="189"/>
    </bk>
    <bk>
      <rc t="1" v="190"/>
    </bk>
    <bk>
      <rc t="1" v="191"/>
    </bk>
    <bk>
      <rc t="1" v="192"/>
    </bk>
    <bk>
      <rc t="1" v="193"/>
    </bk>
    <bk>
      <rc t="1" v="194"/>
    </bk>
    <bk>
      <rc t="1" v="195"/>
    </bk>
    <bk>
      <rc t="1" v="196"/>
    </bk>
    <bk>
      <rc t="1" v="197"/>
    </bk>
    <bk>
      <rc t="1" v="198"/>
    </bk>
    <bk>
      <rc t="1" v="199"/>
    </bk>
    <bk>
      <rc t="1" v="200"/>
    </bk>
    <bk>
      <rc t="1" v="201"/>
    </bk>
    <bk>
      <rc t="1" v="202"/>
    </bk>
    <bk>
      <rc t="1" v="203"/>
    </bk>
    <bk>
      <rc t="1" v="204"/>
    </bk>
    <bk>
      <rc t="1" v="205"/>
    </bk>
    <bk>
      <rc t="1" v="206"/>
    </bk>
    <bk>
      <rc t="1" v="207"/>
    </bk>
    <bk>
      <rc t="1" v="208"/>
    </bk>
    <bk>
      <rc t="1" v="209"/>
    </bk>
    <bk>
      <rc t="1" v="210"/>
    </bk>
    <bk>
      <rc t="1" v="211"/>
    </bk>
    <bk>
      <rc t="1" v="212"/>
    </bk>
    <bk>
      <rc t="1" v="213"/>
    </bk>
    <bk>
      <rc t="1" v="214"/>
    </bk>
    <bk>
      <rc t="1" v="215"/>
    </bk>
    <bk>
      <rc t="1" v="216"/>
    </bk>
    <bk>
      <rc t="1" v="217"/>
    </bk>
    <bk>
      <rc t="1" v="218"/>
    </bk>
    <bk>
      <rc t="1" v="219"/>
    </bk>
    <bk>
      <rc t="1" v="220"/>
    </bk>
    <bk>
      <rc t="1" v="221"/>
    </bk>
    <bk>
      <rc t="1" v="222"/>
    </bk>
    <bk>
      <rc t="1" v="223"/>
    </bk>
    <bk>
      <rc t="1" v="224"/>
    </bk>
    <bk>
      <rc t="1" v="225"/>
    </bk>
    <bk>
      <rc t="1" v="226"/>
    </bk>
    <bk>
      <rc t="1" v="227"/>
    </bk>
    <bk>
      <rc t="1" v="228"/>
    </bk>
    <bk>
      <rc t="1" v="229"/>
    </bk>
    <bk>
      <rc t="1" v="230"/>
    </bk>
    <bk>
      <rc t="1" v="231"/>
    </bk>
    <bk>
      <rc t="1" v="232"/>
    </bk>
    <bk>
      <rc t="1" v="233"/>
    </bk>
    <bk>
      <rc t="1" v="234"/>
    </bk>
    <bk>
      <rc t="1" v="235"/>
    </bk>
    <bk>
      <rc t="1" v="236"/>
    </bk>
    <bk>
      <rc t="1" v="237"/>
    </bk>
    <bk>
      <rc t="1" v="238"/>
    </bk>
    <bk>
      <rc t="1" v="239"/>
    </bk>
    <bk>
      <rc t="1" v="240"/>
    </bk>
    <bk>
      <rc t="1" v="241"/>
    </bk>
    <bk>
      <rc t="1" v="242"/>
    </bk>
    <bk>
      <rc t="1" v="243"/>
    </bk>
    <bk>
      <rc t="1" v="244"/>
    </bk>
    <bk>
      <rc t="1" v="245"/>
    </bk>
    <bk>
      <rc t="1" v="246"/>
    </bk>
    <bk>
      <rc t="1" v="247"/>
    </bk>
    <bk>
      <rc t="1" v="248"/>
    </bk>
    <bk>
      <rc t="1" v="249"/>
    </bk>
    <bk>
      <rc t="1" v="250"/>
    </bk>
    <bk>
      <rc t="1" v="251"/>
    </bk>
    <bk>
      <rc t="1" v="252"/>
    </bk>
    <bk>
      <rc t="1" v="253"/>
    </bk>
    <bk>
      <rc t="1" v="254"/>
    </bk>
    <bk>
      <rc t="1" v="255"/>
    </bk>
    <bk>
      <rc t="1" v="256"/>
    </bk>
    <bk>
      <rc t="1" v="257"/>
    </bk>
    <bk>
      <rc t="1" v="258"/>
    </bk>
    <bk>
      <rc t="1" v="259"/>
    </bk>
    <bk>
      <rc t="1" v="260"/>
    </bk>
    <bk>
      <rc t="1" v="261"/>
    </bk>
    <bk>
      <rc t="1" v="262"/>
    </bk>
    <bk>
      <rc t="1" v="263"/>
    </bk>
    <bk>
      <rc t="1" v="264"/>
    </bk>
    <bk>
      <rc t="1" v="265"/>
    </bk>
    <bk>
      <rc t="1" v="266"/>
    </bk>
    <bk>
      <rc t="1" v="267"/>
    </bk>
    <bk>
      <rc t="1" v="268"/>
    </bk>
    <bk>
      <rc t="1" v="269"/>
    </bk>
    <bk>
      <rc t="1" v="270"/>
    </bk>
    <bk>
      <rc t="1" v="271"/>
    </bk>
    <bk>
      <rc t="1" v="272"/>
    </bk>
    <bk>
      <rc t="1" v="273"/>
    </bk>
    <bk>
      <rc t="1" v="274"/>
    </bk>
    <bk>
      <rc t="1" v="275"/>
    </bk>
    <bk>
      <rc t="1" v="276"/>
    </bk>
    <bk>
      <rc t="1" v="277"/>
    </bk>
    <bk>
      <rc t="1" v="278"/>
    </bk>
    <bk>
      <rc t="1" v="279"/>
    </bk>
    <bk>
      <rc t="1" v="280"/>
    </bk>
    <bk>
      <rc t="1" v="281"/>
    </bk>
    <bk>
      <rc t="1" v="282"/>
    </bk>
    <bk>
      <rc t="1" v="283"/>
    </bk>
    <bk>
      <rc t="1" v="284"/>
    </bk>
    <bk>
      <rc t="1" v="285"/>
    </bk>
    <bk>
      <rc t="1" v="286"/>
    </bk>
    <bk>
      <rc t="1" v="287"/>
    </bk>
    <bk>
      <rc t="1" v="288"/>
    </bk>
    <bk>
      <rc t="1" v="289"/>
    </bk>
    <bk>
      <rc t="1" v="290"/>
    </bk>
    <bk>
      <rc t="1" v="291"/>
    </bk>
    <bk>
      <rc t="1" v="292"/>
    </bk>
    <bk>
      <rc t="1" v="293"/>
    </bk>
    <bk>
      <rc t="1" v="294"/>
    </bk>
    <bk>
      <rc t="1" v="295"/>
    </bk>
    <bk>
      <rc t="1" v="296"/>
    </bk>
    <bk>
      <rc t="1" v="297"/>
    </bk>
    <bk>
      <rc t="1" v="298"/>
    </bk>
    <bk>
      <rc t="1" v="299"/>
    </bk>
    <bk>
      <rc t="1" v="300"/>
    </bk>
    <bk>
      <rc t="1" v="301"/>
    </bk>
    <bk>
      <rc t="1" v="302"/>
    </bk>
    <bk>
      <rc t="1" v="303"/>
    </bk>
    <bk>
      <rc t="1" v="304"/>
    </bk>
    <bk>
      <rc t="1" v="305"/>
    </bk>
    <bk>
      <rc t="1" v="306"/>
    </bk>
    <bk>
      <rc t="1" v="307"/>
    </bk>
    <bk>
      <rc t="1" v="308"/>
    </bk>
    <bk>
      <rc t="1" v="309"/>
    </bk>
    <bk>
      <rc t="1" v="310"/>
    </bk>
    <bk>
      <rc t="1" v="311"/>
    </bk>
    <bk>
      <rc t="1" v="312"/>
    </bk>
    <bk>
      <rc t="1" v="313"/>
    </bk>
    <bk>
      <rc t="1" v="314"/>
    </bk>
    <bk>
      <rc t="1" v="315"/>
    </bk>
    <bk>
      <rc t="1" v="316"/>
    </bk>
    <bk>
      <rc t="1" v="317"/>
    </bk>
    <bk>
      <rc t="1" v="318"/>
    </bk>
    <bk>
      <rc t="1" v="319"/>
    </bk>
    <bk>
      <rc t="1" v="320"/>
    </bk>
    <bk>
      <rc t="1" v="321"/>
    </bk>
    <bk>
      <rc t="1" v="322"/>
    </bk>
    <bk>
      <rc t="1" v="323"/>
    </bk>
    <bk>
      <rc t="1" v="324"/>
    </bk>
    <bk>
      <rc t="1" v="325"/>
    </bk>
    <bk>
      <rc t="1" v="326"/>
    </bk>
    <bk>
      <rc t="1" v="327"/>
    </bk>
    <bk>
      <rc t="1" v="328"/>
    </bk>
    <bk>
      <rc t="1" v="329"/>
    </bk>
    <bk>
      <rc t="1" v="330"/>
    </bk>
    <bk>
      <rc t="1" v="331"/>
    </bk>
    <bk>
      <rc t="1" v="332"/>
    </bk>
    <bk>
      <rc t="1" v="333"/>
    </bk>
    <bk>
      <rc t="1" v="334"/>
    </bk>
    <bk>
      <rc t="1" v="335"/>
    </bk>
    <bk>
      <rc t="1" v="336"/>
    </bk>
    <bk>
      <rc t="1" v="337"/>
    </bk>
    <bk>
      <rc t="1" v="338"/>
    </bk>
    <bk>
      <rc t="1" v="339"/>
    </bk>
    <bk>
      <rc t="1" v="340"/>
    </bk>
    <bk>
      <rc t="1" v="341"/>
    </bk>
    <bk>
      <rc t="1" v="342"/>
    </bk>
    <bk>
      <rc t="1" v="343"/>
    </bk>
    <bk>
      <rc t="1" v="344"/>
    </bk>
    <bk>
      <rc t="1" v="345"/>
    </bk>
    <bk>
      <rc t="1" v="346"/>
    </bk>
    <bk>
      <rc t="1" v="347"/>
    </bk>
    <bk>
      <rc t="1" v="348"/>
    </bk>
    <bk>
      <rc t="1" v="349"/>
    </bk>
    <bk>
      <rc t="1" v="350"/>
    </bk>
    <bk>
      <rc t="1" v="351"/>
    </bk>
    <bk>
      <rc t="1" v="352"/>
    </bk>
    <bk>
      <rc t="1" v="353"/>
    </bk>
    <bk>
      <rc t="1" v="354"/>
    </bk>
    <bk>
      <rc t="1" v="355"/>
    </bk>
    <bk>
      <rc t="1" v="356"/>
    </bk>
    <bk>
      <rc t="1" v="357"/>
    </bk>
    <bk>
      <rc t="1" v="358"/>
    </bk>
    <bk>
      <rc t="1" v="359"/>
    </bk>
    <bk>
      <rc t="1" v="360"/>
    </bk>
    <bk>
      <rc t="1" v="361"/>
    </bk>
    <bk>
      <rc t="1" v="362"/>
    </bk>
    <bk>
      <rc t="1" v="363"/>
    </bk>
    <bk>
      <rc t="1" v="364"/>
    </bk>
    <bk>
      <rc t="1" v="365"/>
    </bk>
    <bk>
      <rc t="1" v="366"/>
    </bk>
    <bk>
      <rc t="1" v="367"/>
    </bk>
    <bk>
      <rc t="1" v="368"/>
    </bk>
    <bk>
      <rc t="1" v="369"/>
    </bk>
    <bk>
      <rc t="1" v="370"/>
    </bk>
    <bk>
      <rc t="1" v="371"/>
    </bk>
    <bk>
      <rc t="1" v="372"/>
    </bk>
    <bk>
      <rc t="1" v="373"/>
    </bk>
    <bk>
      <rc t="1" v="374"/>
    </bk>
    <bk>
      <rc t="1" v="375"/>
    </bk>
    <bk>
      <rc t="1" v="376"/>
    </bk>
    <bk>
      <rc t="1" v="377"/>
    </bk>
    <bk>
      <rc t="1" v="378"/>
    </bk>
    <bk>
      <rc t="1" v="379"/>
    </bk>
    <bk>
      <rc t="1" v="380"/>
    </bk>
    <bk>
      <rc t="1" v="381"/>
    </bk>
    <bk>
      <rc t="1" v="382"/>
    </bk>
    <bk>
      <rc t="1" v="383"/>
    </bk>
    <bk>
      <rc t="1" v="384"/>
    </bk>
    <bk>
      <rc t="1" v="385"/>
    </bk>
    <bk>
      <rc t="1" v="386"/>
    </bk>
    <bk>
      <rc t="1" v="387"/>
    </bk>
    <bk>
      <rc t="1" v="388"/>
    </bk>
    <bk>
      <rc t="1" v="389"/>
    </bk>
    <bk>
      <rc t="1" v="390"/>
    </bk>
    <bk>
      <rc t="1" v="391"/>
    </bk>
    <bk>
      <rc t="1" v="392"/>
    </bk>
    <bk>
      <rc t="1" v="393"/>
    </bk>
    <bk>
      <rc t="1" v="394"/>
    </bk>
    <bk>
      <rc t="1" v="395"/>
    </bk>
    <bk>
      <rc t="1" v="396"/>
    </bk>
    <bk>
      <rc t="1" v="397"/>
    </bk>
    <bk>
      <rc t="1" v="398"/>
    </bk>
    <bk>
      <rc t="1" v="399"/>
    </bk>
    <bk>
      <rc t="1" v="400"/>
    </bk>
    <bk>
      <rc t="1" v="401"/>
    </bk>
    <bk>
      <rc t="1" v="402"/>
    </bk>
    <bk>
      <rc t="1" v="403"/>
    </bk>
    <bk>
      <rc t="1" v="404"/>
    </bk>
    <bk>
      <rc t="1" v="405"/>
    </bk>
    <bk>
      <rc t="1" v="406"/>
    </bk>
    <bk>
      <rc t="1" v="407"/>
    </bk>
    <bk>
      <rc t="1" v="408"/>
    </bk>
    <bk>
      <rc t="1" v="409"/>
    </bk>
    <bk>
      <rc t="1" v="410"/>
    </bk>
    <bk>
      <rc t="1" v="411"/>
    </bk>
    <bk>
      <rc t="1" v="412"/>
    </bk>
    <bk>
      <rc t="1" v="413"/>
    </bk>
    <bk>
      <rc t="1" v="414"/>
    </bk>
    <bk>
      <rc t="1" v="415"/>
    </bk>
    <bk>
      <rc t="1" v="416"/>
    </bk>
    <bk>
      <rc t="1" v="417"/>
    </bk>
    <bk>
      <rc t="1" v="418"/>
    </bk>
    <bk>
      <rc t="1" v="419"/>
    </bk>
    <bk>
      <rc t="1" v="420"/>
    </bk>
    <bk>
      <rc t="1" v="421"/>
    </bk>
    <bk>
      <rc t="1" v="422"/>
    </bk>
    <bk>
      <rc t="1" v="423"/>
    </bk>
    <bk>
      <rc t="1" v="424"/>
    </bk>
    <bk>
      <rc t="1" v="425"/>
    </bk>
    <bk>
      <rc t="1" v="426"/>
    </bk>
    <bk>
      <rc t="1" v="427"/>
    </bk>
    <bk>
      <rc t="1" v="428"/>
    </bk>
    <bk>
      <rc t="1" v="429"/>
    </bk>
    <bk>
      <rc t="1" v="430"/>
    </bk>
    <bk>
      <rc t="1" v="431"/>
    </bk>
    <bk>
      <rc t="1" v="432"/>
    </bk>
    <bk>
      <rc t="1" v="433"/>
    </bk>
    <bk>
      <rc t="1" v="434"/>
    </bk>
    <bk>
      <rc t="1" v="435"/>
    </bk>
    <bk>
      <rc t="1" v="436"/>
    </bk>
    <bk>
      <rc t="1" v="437"/>
    </bk>
    <bk>
      <rc t="1" v="438"/>
    </bk>
    <bk>
      <rc t="1" v="439"/>
    </bk>
    <bk>
      <rc t="1" v="440"/>
    </bk>
    <bk>
      <rc t="1" v="441"/>
    </bk>
    <bk>
      <rc t="1" v="442"/>
    </bk>
    <bk>
      <rc t="1" v="443"/>
    </bk>
    <bk>
      <rc t="1" v="444"/>
    </bk>
    <bk>
      <rc t="1" v="445"/>
    </bk>
    <bk>
      <rc t="1" v="446"/>
    </bk>
    <bk>
      <rc t="1" v="447"/>
    </bk>
    <bk>
      <rc t="1" v="448"/>
    </bk>
    <bk>
      <rc t="1" v="449"/>
    </bk>
    <bk>
      <rc t="1" v="450"/>
    </bk>
    <bk>
      <rc t="1" v="451"/>
    </bk>
    <bk>
      <rc t="1" v="452"/>
    </bk>
    <bk>
      <rc t="1" v="453"/>
    </bk>
    <bk>
      <rc t="1" v="454"/>
    </bk>
    <bk>
      <rc t="1" v="455"/>
    </bk>
    <bk>
      <rc t="1" v="456"/>
    </bk>
    <bk>
      <rc t="1" v="457"/>
    </bk>
    <bk>
      <rc t="1" v="458"/>
    </bk>
    <bk>
      <rc t="1" v="459"/>
    </bk>
    <bk>
      <rc t="1" v="460"/>
    </bk>
    <bk>
      <rc t="1" v="461"/>
    </bk>
    <bk>
      <rc t="1" v="462"/>
    </bk>
    <bk>
      <rc t="1" v="463"/>
    </bk>
    <bk>
      <rc t="1" v="464"/>
    </bk>
    <bk>
      <rc t="1" v="465"/>
    </bk>
    <bk>
      <rc t="1" v="466"/>
    </bk>
    <bk>
      <rc t="1" v="467"/>
    </bk>
    <bk>
      <rc t="1" v="468"/>
    </bk>
    <bk>
      <rc t="1" v="469"/>
    </bk>
    <bk>
      <rc t="1" v="470"/>
    </bk>
    <bk>
      <rc t="1" v="471"/>
    </bk>
    <bk>
      <rc t="1" v="472"/>
    </bk>
    <bk>
      <rc t="1" v="473"/>
    </bk>
    <bk>
      <rc t="1" v="474"/>
    </bk>
    <bk>
      <rc t="1" v="475"/>
    </bk>
    <bk>
      <rc t="1" v="476"/>
    </bk>
    <bk>
      <rc t="1" v="477"/>
    </bk>
    <bk>
      <rc t="1" v="478"/>
    </bk>
    <bk>
      <rc t="1" v="479"/>
    </bk>
    <bk>
      <rc t="1" v="480"/>
    </bk>
    <bk>
      <rc t="1" v="481"/>
    </bk>
    <bk>
      <rc t="1" v="482"/>
    </bk>
    <bk>
      <rc t="1" v="483"/>
    </bk>
    <bk>
      <rc t="1" v="484"/>
    </bk>
    <bk>
      <rc t="1" v="485"/>
    </bk>
    <bk>
      <rc t="1" v="486"/>
    </bk>
    <bk>
      <rc t="1" v="487"/>
    </bk>
    <bk>
      <rc t="1" v="488"/>
    </bk>
    <bk>
      <rc t="1" v="489"/>
    </bk>
    <bk>
      <rc t="1" v="490"/>
    </bk>
    <bk>
      <rc t="1" v="491"/>
    </bk>
    <bk>
      <rc t="1" v="492"/>
    </bk>
    <bk>
      <rc t="1" v="493"/>
    </bk>
    <bk>
      <rc t="1" v="494"/>
    </bk>
    <bk>
      <rc t="1" v="495"/>
    </bk>
    <bk>
      <rc t="1" v="496"/>
    </bk>
    <bk>
      <rc t="1" v="497"/>
    </bk>
    <bk>
      <rc t="1" v="498"/>
    </bk>
    <bk>
      <rc t="1" v="499"/>
    </bk>
    <bk>
      <rc t="1" v="500"/>
    </bk>
    <bk>
      <rc t="1" v="501"/>
    </bk>
    <bk>
      <rc t="1" v="502"/>
    </bk>
    <bk>
      <rc t="1" v="503"/>
    </bk>
    <bk>
      <rc t="1" v="504"/>
    </bk>
    <bk>
      <rc t="1" v="505"/>
    </bk>
    <bk>
      <rc t="1" v="506"/>
    </bk>
    <bk>
      <rc t="1" v="507"/>
    </bk>
    <bk>
      <rc t="1" v="508"/>
    </bk>
    <bk>
      <rc t="1" v="509"/>
    </bk>
    <bk>
      <rc t="1" v="510"/>
    </bk>
    <bk>
      <rc t="1" v="511"/>
    </bk>
    <bk>
      <rc t="1" v="512"/>
    </bk>
    <bk>
      <rc t="1" v="513"/>
    </bk>
    <bk>
      <rc t="1" v="514"/>
    </bk>
    <bk>
      <rc t="1" v="515"/>
    </bk>
    <bk>
      <rc t="1" v="516"/>
    </bk>
    <bk>
      <rc t="1" v="517"/>
    </bk>
    <bk>
      <rc t="1" v="518"/>
    </bk>
    <bk>
      <rc t="1" v="519"/>
    </bk>
    <bk>
      <rc t="1" v="520"/>
    </bk>
    <bk>
      <rc t="1" v="521"/>
    </bk>
    <bk>
      <rc t="1" v="522"/>
    </bk>
    <bk>
      <rc t="1" v="523"/>
    </bk>
    <bk>
      <rc t="1" v="524"/>
    </bk>
    <bk>
      <rc t="1" v="525"/>
    </bk>
    <bk>
      <rc t="1" v="526"/>
    </bk>
    <bk>
      <rc t="1" v="527"/>
    </bk>
    <bk>
      <rc t="1" v="528"/>
    </bk>
    <bk>
      <rc t="1" v="529"/>
    </bk>
    <bk>
      <rc t="1" v="530"/>
    </bk>
    <bk>
      <rc t="1" v="531"/>
    </bk>
    <bk>
      <rc t="1" v="532"/>
    </bk>
    <bk>
      <rc t="1" v="533"/>
    </bk>
    <bk>
      <rc t="1" v="534"/>
    </bk>
    <bk>
      <rc t="1" v="535"/>
    </bk>
    <bk>
      <rc t="1" v="536"/>
    </bk>
    <bk>
      <rc t="1" v="537"/>
    </bk>
    <bk>
      <rc t="1" v="538"/>
    </bk>
    <bk>
      <rc t="1" v="539"/>
    </bk>
    <bk>
      <rc t="1" v="540"/>
    </bk>
    <bk>
      <rc t="1" v="541"/>
    </bk>
    <bk>
      <rc t="1" v="542"/>
    </bk>
    <bk>
      <rc t="1" v="543"/>
    </bk>
    <bk>
      <rc t="1" v="544"/>
    </bk>
    <bk>
      <rc t="1" v="545"/>
    </bk>
    <bk>
      <rc t="1" v="546"/>
    </bk>
    <bk>
      <rc t="1" v="547"/>
    </bk>
    <bk>
      <rc t="1" v="548"/>
    </bk>
    <bk>
      <rc t="1" v="549"/>
    </bk>
    <bk>
      <rc t="1" v="550"/>
    </bk>
    <bk>
      <rc t="1" v="551"/>
    </bk>
    <bk>
      <rc t="1" v="552"/>
    </bk>
    <bk>
      <rc t="1" v="553"/>
    </bk>
    <bk>
      <rc t="1" v="554"/>
    </bk>
    <bk>
      <rc t="1" v="555"/>
    </bk>
    <bk>
      <rc t="1" v="556"/>
    </bk>
    <bk>
      <rc t="1" v="557"/>
    </bk>
    <bk>
      <rc t="1" v="558"/>
    </bk>
    <bk>
      <rc t="1" v="559"/>
    </bk>
    <bk>
      <rc t="1" v="560"/>
    </bk>
    <bk>
      <rc t="1" v="561"/>
    </bk>
    <bk>
      <rc t="1" v="562"/>
    </bk>
    <bk>
      <rc t="1" v="563"/>
    </bk>
    <bk>
      <rc t="1" v="564"/>
    </bk>
    <bk>
      <rc t="1" v="565"/>
    </bk>
    <bk>
      <rc t="1" v="566"/>
    </bk>
    <bk>
      <rc t="1" v="567"/>
    </bk>
    <bk>
      <rc t="1" v="568"/>
    </bk>
    <bk>
      <rc t="1" v="569"/>
    </bk>
    <bk>
      <rc t="1" v="570"/>
    </bk>
    <bk>
      <rc t="1" v="571"/>
    </bk>
    <bk>
      <rc t="1" v="572"/>
    </bk>
    <bk>
      <rc t="1" v="573"/>
    </bk>
    <bk>
      <rc t="1" v="574"/>
    </bk>
    <bk>
      <rc t="1" v="575"/>
    </bk>
    <bk>
      <rc t="1" v="576"/>
    </bk>
    <bk>
      <rc t="1" v="577"/>
    </bk>
    <bk>
      <rc t="1" v="578"/>
    </bk>
    <bk>
      <rc t="1" v="579"/>
    </bk>
    <bk>
      <rc t="1" v="580"/>
    </bk>
    <bk>
      <rc t="1" v="581"/>
    </bk>
    <bk>
      <rc t="1" v="582"/>
    </bk>
    <bk>
      <rc t="1" v="583"/>
    </bk>
    <bk>
      <rc t="1" v="584"/>
    </bk>
    <bk>
      <rc t="1" v="585"/>
    </bk>
    <bk>
      <rc t="1" v="586"/>
    </bk>
    <bk>
      <rc t="1" v="587"/>
    </bk>
    <bk>
      <rc t="1" v="588"/>
    </bk>
    <bk>
      <rc t="1" v="589"/>
    </bk>
    <bk>
      <rc t="1" v="590"/>
    </bk>
    <bk>
      <rc t="1" v="591"/>
    </bk>
    <bk>
      <rc t="1" v="592"/>
    </bk>
    <bk>
      <rc t="1" v="593"/>
    </bk>
    <bk>
      <rc t="1" v="594"/>
    </bk>
    <bk>
      <rc t="1" v="595"/>
    </bk>
    <bk>
      <rc t="1" v="596"/>
    </bk>
    <bk>
      <rc t="1" v="597"/>
    </bk>
    <bk>
      <rc t="1" v="598"/>
    </bk>
    <bk>
      <rc t="1" v="599"/>
    </bk>
    <bk>
      <rc t="1" v="600"/>
    </bk>
    <bk>
      <rc t="1" v="601"/>
    </bk>
    <bk>
      <rc t="1" v="602"/>
    </bk>
    <bk>
      <rc t="1" v="603"/>
    </bk>
    <bk>
      <rc t="1" v="604"/>
    </bk>
    <bk>
      <rc t="1" v="605"/>
    </bk>
    <bk>
      <rc t="1" v="606"/>
    </bk>
    <bk>
      <rc t="1" v="607"/>
    </bk>
    <bk>
      <rc t="1" v="608"/>
    </bk>
    <bk>
      <rc t="1" v="609"/>
    </bk>
    <bk>
      <rc t="1" v="610"/>
    </bk>
    <bk>
      <rc t="1" v="611"/>
    </bk>
    <bk>
      <rc t="1" v="612"/>
    </bk>
    <bk>
      <rc t="1" v="613"/>
    </bk>
    <bk>
      <rc t="1" v="614"/>
    </bk>
    <bk>
      <rc t="1" v="615"/>
    </bk>
    <bk>
      <rc t="1" v="616"/>
    </bk>
    <bk>
      <rc t="1" v="617"/>
    </bk>
    <bk>
      <rc t="1" v="618"/>
    </bk>
    <bk>
      <rc t="1" v="619"/>
    </bk>
    <bk>
      <rc t="1" v="620"/>
    </bk>
    <bk>
      <rc t="1" v="621"/>
    </bk>
    <bk>
      <rc t="1" v="622"/>
    </bk>
    <bk>
      <rc t="1" v="623"/>
    </bk>
    <bk>
      <rc t="1" v="624"/>
    </bk>
    <bk>
      <rc t="1" v="625"/>
    </bk>
    <bk>
      <rc t="1" v="626"/>
    </bk>
    <bk>
      <rc t="1" v="627"/>
    </bk>
    <bk>
      <rc t="1" v="628"/>
    </bk>
    <bk>
      <rc t="1" v="629"/>
    </bk>
    <bk>
      <rc t="1" v="630"/>
    </bk>
    <bk>
      <rc t="1" v="631"/>
    </bk>
    <bk>
      <rc t="1" v="632"/>
    </bk>
    <bk>
      <rc t="1" v="633"/>
    </bk>
    <bk>
      <rc t="1" v="634"/>
    </bk>
    <bk>
      <rc t="1" v="635"/>
    </bk>
    <bk>
      <rc t="1" v="636"/>
    </bk>
    <bk>
      <rc t="1" v="637"/>
    </bk>
    <bk>
      <rc t="1" v="638"/>
    </bk>
    <bk>
      <rc t="1" v="639"/>
    </bk>
    <bk>
      <rc t="1" v="640"/>
    </bk>
    <bk>
      <rc t="1" v="641"/>
    </bk>
    <bk>
      <rc t="1" v="642"/>
    </bk>
    <bk>
      <rc t="1" v="643"/>
    </bk>
    <bk>
      <rc t="1" v="644"/>
    </bk>
    <bk>
      <rc t="1" v="645"/>
    </bk>
    <bk>
      <rc t="1" v="646"/>
    </bk>
    <bk>
      <rc t="1" v="647"/>
    </bk>
    <bk>
      <rc t="1" v="648"/>
    </bk>
    <bk>
      <rc t="1" v="649"/>
    </bk>
    <bk>
      <rc t="1" v="650"/>
    </bk>
    <bk>
      <rc t="1" v="651"/>
    </bk>
    <bk>
      <rc t="1" v="652"/>
    </bk>
    <bk>
      <rc t="1" v="653"/>
    </bk>
    <bk>
      <rc t="1" v="654"/>
    </bk>
    <bk>
      <rc t="1" v="655"/>
    </bk>
    <bk>
      <rc t="1" v="656"/>
    </bk>
    <bk>
      <rc t="1" v="657"/>
    </bk>
    <bk>
      <rc t="1" v="658"/>
    </bk>
    <bk>
      <rc t="1" v="659"/>
    </bk>
    <bk>
      <rc t="1" v="660"/>
    </bk>
    <bk>
      <rc t="1" v="661"/>
    </bk>
    <bk>
      <rc t="1" v="662"/>
    </bk>
    <bk>
      <rc t="1" v="663"/>
    </bk>
    <bk>
      <rc t="1" v="664"/>
    </bk>
    <bk>
      <rc t="1" v="665"/>
    </bk>
    <bk>
      <rc t="1" v="666"/>
    </bk>
    <bk>
      <rc t="1" v="667"/>
    </bk>
    <bk>
      <rc t="1" v="668"/>
    </bk>
    <bk>
      <rc t="1" v="669"/>
    </bk>
    <bk>
      <rc t="1" v="670"/>
    </bk>
    <bk>
      <rc t="1" v="671"/>
    </bk>
    <bk>
      <rc t="1" v="672"/>
    </bk>
    <bk>
      <rc t="1" v="673"/>
    </bk>
    <bk>
      <rc t="1" v="674"/>
    </bk>
    <bk>
      <rc t="1" v="675"/>
    </bk>
    <bk>
      <rc t="1" v="676"/>
    </bk>
    <bk>
      <rc t="1" v="677"/>
    </bk>
    <bk>
      <rc t="1" v="678"/>
    </bk>
    <bk>
      <rc t="1" v="679"/>
    </bk>
    <bk>
      <rc t="1" v="680"/>
    </bk>
    <bk>
      <rc t="1" v="681"/>
    </bk>
    <bk>
      <rc t="1" v="682"/>
    </bk>
    <bk>
      <rc t="1" v="683"/>
    </bk>
    <bk>
      <rc t="1" v="684"/>
    </bk>
    <bk>
      <rc t="1" v="685"/>
    </bk>
    <bk>
      <rc t="1" v="686"/>
    </bk>
    <bk>
      <rc t="1" v="687"/>
    </bk>
    <bk>
      <rc t="1" v="688"/>
    </bk>
    <bk>
      <rc t="1" v="689"/>
    </bk>
    <bk>
      <rc t="1" v="690"/>
    </bk>
    <bk>
      <rc t="1" v="691"/>
    </bk>
    <bk>
      <rc t="1" v="692"/>
    </bk>
    <bk>
      <rc t="1" v="693"/>
    </bk>
    <bk>
      <rc t="1" v="694"/>
    </bk>
    <bk>
      <rc t="1" v="695"/>
    </bk>
    <bk>
      <rc t="1" v="696"/>
    </bk>
    <bk>
      <rc t="1" v="697"/>
    </bk>
    <bk>
      <rc t="1" v="698"/>
    </bk>
    <bk>
      <rc t="1" v="699"/>
    </bk>
    <bk>
      <rc t="1" v="700"/>
    </bk>
    <bk>
      <rc t="1" v="701"/>
    </bk>
    <bk>
      <rc t="1" v="702"/>
    </bk>
    <bk>
      <rc t="1" v="703"/>
    </bk>
    <bk>
      <rc t="1" v="704"/>
    </bk>
    <bk>
      <rc t="1" v="705"/>
    </bk>
    <bk>
      <rc t="1" v="706"/>
    </bk>
    <bk>
      <rc t="1" v="707"/>
    </bk>
    <bk>
      <rc t="1" v="708"/>
    </bk>
    <bk>
      <rc t="1" v="709"/>
    </bk>
    <bk>
      <rc t="1" v="710"/>
    </bk>
    <bk>
      <rc t="1" v="711"/>
    </bk>
    <bk>
      <rc t="1" v="712"/>
    </bk>
    <bk>
      <rc t="1" v="713"/>
    </bk>
    <bk>
      <rc t="1" v="714"/>
    </bk>
    <bk>
      <rc t="1" v="715"/>
    </bk>
    <bk>
      <rc t="1" v="716"/>
    </bk>
    <bk>
      <rc t="1" v="717"/>
    </bk>
    <bk>
      <rc t="1" v="718"/>
    </bk>
    <bk>
      <rc t="1" v="719"/>
    </bk>
    <bk>
      <rc t="1" v="720"/>
    </bk>
    <bk>
      <rc t="1" v="721"/>
    </bk>
    <bk>
      <rc t="1" v="722"/>
    </bk>
    <bk>
      <rc t="1" v="723"/>
    </bk>
    <bk>
      <rc t="1" v="724"/>
    </bk>
    <bk>
      <rc t="1" v="725"/>
    </bk>
    <bk>
      <rc t="1" v="726"/>
    </bk>
    <bk>
      <rc t="1" v="727"/>
    </bk>
    <bk>
      <rc t="1" v="728"/>
    </bk>
    <bk>
      <rc t="1" v="729"/>
    </bk>
    <bk>
      <rc t="1" v="730"/>
    </bk>
    <bk>
      <rc t="1" v="731"/>
    </bk>
    <bk>
      <rc t="1" v="732"/>
    </bk>
    <bk>
      <rc t="1" v="733"/>
    </bk>
    <bk>
      <rc t="1" v="734"/>
    </bk>
    <bk>
      <rc t="1" v="735"/>
    </bk>
    <bk>
      <rc t="1" v="736"/>
    </bk>
    <bk>
      <rc t="1" v="737"/>
    </bk>
    <bk>
      <rc t="1" v="738"/>
    </bk>
    <bk>
      <rc t="1" v="739"/>
    </bk>
    <bk>
      <rc t="1" v="740"/>
    </bk>
    <bk>
      <rc t="1" v="741"/>
    </bk>
    <bk>
      <rc t="1" v="742"/>
    </bk>
    <bk>
      <rc t="1" v="743"/>
    </bk>
    <bk>
      <rc t="1" v="744"/>
    </bk>
    <bk>
      <rc t="1" v="745"/>
    </bk>
    <bk>
      <rc t="1" v="746"/>
    </bk>
    <bk>
      <rc t="1" v="747"/>
    </bk>
    <bk>
      <rc t="1" v="748"/>
    </bk>
    <bk>
      <rc t="1" v="749"/>
    </bk>
    <bk>
      <rc t="1" v="750"/>
    </bk>
    <bk>
      <rc t="1" v="751"/>
    </bk>
    <bk>
      <rc t="1" v="752"/>
    </bk>
    <bk>
      <rc t="1" v="753"/>
    </bk>
    <bk>
      <rc t="1" v="754"/>
    </bk>
    <bk>
      <rc t="1" v="755"/>
    </bk>
    <bk>
      <rc t="1" v="756"/>
    </bk>
    <bk>
      <rc t="1" v="757"/>
    </bk>
    <bk>
      <rc t="1" v="758"/>
    </bk>
    <bk>
      <rc t="1" v="759"/>
    </bk>
    <bk>
      <rc t="1" v="760"/>
    </bk>
    <bk>
      <rc t="1" v="761"/>
    </bk>
    <bk>
      <rc t="1" v="762"/>
    </bk>
    <bk>
      <rc t="1" v="763"/>
    </bk>
    <bk>
      <rc t="1" v="764"/>
    </bk>
    <bk>
      <rc t="1" v="765"/>
    </bk>
    <bk>
      <rc t="1" v="766"/>
    </bk>
    <bk>
      <rc t="1" v="767"/>
    </bk>
    <bk>
      <rc t="1" v="768"/>
    </bk>
    <bk>
      <rc t="1" v="769"/>
    </bk>
    <bk>
      <rc t="1" v="770"/>
    </bk>
    <bk>
      <rc t="1" v="771"/>
    </bk>
    <bk>
      <rc t="1" v="772"/>
    </bk>
    <bk>
      <rc t="1" v="773"/>
    </bk>
    <bk>
      <rc t="1" v="774"/>
    </bk>
    <bk>
      <rc t="1" v="775"/>
    </bk>
    <bk>
      <rc t="1" v="776"/>
    </bk>
    <bk>
      <rc t="1" v="777"/>
    </bk>
    <bk>
      <rc t="1" v="778"/>
    </bk>
    <bk>
      <rc t="1" v="779"/>
    </bk>
    <bk>
      <rc t="1" v="780"/>
    </bk>
    <bk>
      <rc t="1" v="781"/>
    </bk>
    <bk>
      <rc t="1" v="782"/>
    </bk>
    <bk>
      <rc t="1" v="783"/>
    </bk>
    <bk>
      <rc t="1" v="784"/>
    </bk>
    <bk>
      <rc t="1" v="785"/>
    </bk>
    <bk>
      <rc t="1" v="786"/>
    </bk>
    <bk>
      <rc t="1" v="787"/>
    </bk>
    <bk>
      <rc t="1" v="788"/>
    </bk>
    <bk>
      <rc t="1" v="789"/>
    </bk>
    <bk>
      <rc t="1" v="790"/>
    </bk>
    <bk>
      <rc t="1" v="791"/>
    </bk>
    <bk>
      <rc t="1" v="792"/>
    </bk>
    <bk>
      <rc t="1" v="793"/>
    </bk>
    <bk>
      <rc t="1" v="794"/>
    </bk>
    <bk>
      <rc t="1" v="795"/>
    </bk>
    <bk>
      <rc t="1" v="796"/>
    </bk>
    <bk>
      <rc t="1" v="797"/>
    </bk>
    <bk>
      <rc t="1" v="798"/>
    </bk>
    <bk>
      <rc t="1" v="799"/>
    </bk>
    <bk>
      <rc t="1" v="800"/>
    </bk>
    <bk>
      <rc t="1" v="801"/>
    </bk>
    <bk>
      <rc t="1" v="802"/>
    </bk>
    <bk>
      <rc t="1" v="803"/>
    </bk>
    <bk>
      <rc t="1" v="804"/>
    </bk>
    <bk>
      <rc t="1" v="805"/>
    </bk>
    <bk>
      <rc t="1" v="806"/>
    </bk>
    <bk>
      <rc t="1" v="807"/>
    </bk>
    <bk>
      <rc t="1" v="808"/>
    </bk>
    <bk>
      <rc t="1" v="809"/>
    </bk>
    <bk>
      <rc t="1" v="810"/>
    </bk>
    <bk>
      <rc t="1" v="811"/>
    </bk>
    <bk>
      <rc t="1" v="812"/>
    </bk>
    <bk>
      <rc t="1" v="813"/>
    </bk>
    <bk>
      <rc t="1" v="814"/>
    </bk>
    <bk>
      <rc t="1" v="815"/>
    </bk>
    <bk>
      <rc t="1" v="816"/>
    </bk>
    <bk>
      <rc t="1" v="817"/>
    </bk>
    <bk>
      <rc t="1" v="818"/>
    </bk>
    <bk>
      <rc t="1" v="819"/>
    </bk>
    <bk>
      <rc t="1" v="820"/>
    </bk>
    <bk>
      <rc t="1" v="821"/>
    </bk>
    <bk>
      <rc t="1" v="822"/>
    </bk>
    <bk>
      <rc t="1" v="823"/>
    </bk>
    <bk>
      <rc t="1" v="824"/>
    </bk>
    <bk>
      <rc t="1" v="825"/>
    </bk>
    <bk>
      <rc t="1" v="826"/>
    </bk>
    <bk>
      <rc t="1" v="827"/>
    </bk>
    <bk>
      <rc t="1" v="828"/>
    </bk>
    <bk>
      <rc t="1" v="829"/>
    </bk>
    <bk>
      <rc t="1" v="830"/>
    </bk>
    <bk>
      <rc t="1" v="831"/>
    </bk>
    <bk>
      <rc t="1" v="832"/>
    </bk>
    <bk>
      <rc t="1" v="833"/>
    </bk>
    <bk>
      <rc t="1" v="834"/>
    </bk>
    <bk>
      <rc t="1" v="835"/>
    </bk>
    <bk>
      <rc t="1" v="836"/>
    </bk>
    <bk>
      <rc t="1" v="837"/>
    </bk>
    <bk>
      <rc t="1" v="838"/>
    </bk>
    <bk>
      <rc t="1" v="839"/>
    </bk>
    <bk>
      <rc t="1" v="840"/>
    </bk>
    <bk>
      <rc t="1" v="841"/>
    </bk>
    <bk>
      <rc t="1" v="842"/>
    </bk>
    <bk>
      <rc t="1" v="843"/>
    </bk>
    <bk>
      <rc t="1" v="844"/>
    </bk>
    <bk>
      <rc t="1" v="845"/>
    </bk>
    <bk>
      <rc t="1" v="846"/>
    </bk>
    <bk>
      <rc t="1" v="847"/>
    </bk>
    <bk>
      <rc t="1" v="848"/>
    </bk>
    <bk>
      <rc t="1" v="849"/>
    </bk>
    <bk>
      <rc t="1" v="850"/>
    </bk>
    <bk>
      <rc t="1" v="851"/>
    </bk>
    <bk>
      <rc t="1" v="852"/>
    </bk>
    <bk>
      <rc t="1" v="853"/>
    </bk>
    <bk>
      <rc t="1" v="854"/>
    </bk>
    <bk>
      <rc t="1" v="855"/>
    </bk>
    <bk>
      <rc t="1" v="856"/>
    </bk>
    <bk>
      <rc t="1" v="857"/>
    </bk>
    <bk>
      <rc t="1" v="858"/>
    </bk>
    <bk>
      <rc t="1" v="859"/>
    </bk>
    <bk>
      <rc t="1" v="860"/>
    </bk>
    <bk>
      <rc t="1" v="861"/>
    </bk>
    <bk>
      <rc t="1" v="862"/>
    </bk>
    <bk>
      <rc t="1" v="863"/>
    </bk>
    <bk>
      <rc t="1" v="864"/>
    </bk>
    <bk>
      <rc t="1" v="865"/>
    </bk>
    <bk>
      <rc t="1" v="866"/>
    </bk>
    <bk>
      <rc t="1" v="867"/>
    </bk>
    <bk>
      <rc t="1" v="868"/>
    </bk>
    <bk>
      <rc t="1" v="869"/>
    </bk>
    <bk>
      <rc t="1" v="870"/>
    </bk>
    <bk>
      <rc t="1" v="871"/>
    </bk>
    <bk>
      <rc t="1" v="872"/>
    </bk>
    <bk>
      <rc t="1" v="873"/>
    </bk>
    <bk>
      <rc t="1" v="874"/>
    </bk>
    <bk>
      <rc t="1" v="875"/>
    </bk>
    <bk>
      <rc t="1" v="876"/>
    </bk>
    <bk>
      <rc t="1" v="877"/>
    </bk>
    <bk>
      <rc t="1" v="878"/>
    </bk>
    <bk>
      <rc t="1" v="879"/>
    </bk>
    <bk>
      <rc t="1" v="880"/>
    </bk>
    <bk>
      <rc t="1" v="881"/>
    </bk>
    <bk>
      <rc t="1" v="882"/>
    </bk>
    <bk>
      <rc t="1" v="883"/>
    </bk>
    <bk>
      <rc t="1" v="884"/>
    </bk>
    <bk>
      <rc t="1" v="885"/>
    </bk>
    <bk>
      <rc t="1" v="886"/>
    </bk>
    <bk>
      <rc t="1" v="887"/>
    </bk>
    <bk>
      <rc t="1" v="888"/>
    </bk>
    <bk>
      <rc t="1" v="889"/>
    </bk>
    <bk>
      <rc t="1" v="890"/>
    </bk>
    <bk>
      <rc t="1" v="891"/>
    </bk>
    <bk>
      <rc t="1" v="892"/>
    </bk>
    <bk>
      <rc t="1" v="893"/>
    </bk>
    <bk>
      <rc t="1" v="894"/>
    </bk>
    <bk>
      <rc t="1" v="895"/>
    </bk>
    <bk>
      <rc t="1" v="896"/>
    </bk>
    <bk>
      <rc t="1" v="897"/>
    </bk>
    <bk>
      <rc t="1" v="898"/>
    </bk>
    <bk>
      <rc t="1" v="899"/>
    </bk>
    <bk>
      <rc t="1" v="900"/>
    </bk>
    <bk>
      <rc t="1" v="901"/>
    </bk>
    <bk>
      <rc t="1" v="902"/>
    </bk>
    <bk>
      <rc t="1" v="903"/>
    </bk>
    <bk>
      <rc t="1" v="904"/>
    </bk>
    <bk>
      <rc t="1" v="905"/>
    </bk>
    <bk>
      <rc t="1" v="906"/>
    </bk>
    <bk>
      <rc t="1" v="907"/>
    </bk>
    <bk>
      <rc t="1" v="908"/>
    </bk>
    <bk>
      <rc t="1" v="909"/>
    </bk>
    <bk>
      <rc t="1" v="910"/>
    </bk>
    <bk>
      <rc t="1" v="911"/>
    </bk>
    <bk>
      <rc t="1" v="912"/>
    </bk>
    <bk>
      <rc t="1" v="913"/>
    </bk>
    <bk>
      <rc t="1" v="914"/>
    </bk>
    <bk>
      <rc t="1" v="915"/>
    </bk>
    <bk>
      <rc t="1" v="916"/>
    </bk>
    <bk>
      <rc t="1" v="917"/>
    </bk>
    <bk>
      <rc t="1" v="918"/>
    </bk>
    <bk>
      <rc t="1" v="919"/>
    </bk>
    <bk>
      <rc t="1" v="920"/>
    </bk>
    <bk>
      <rc t="1" v="921"/>
    </bk>
    <bk>
      <rc t="1" v="922"/>
    </bk>
    <bk>
      <rc t="1" v="923"/>
    </bk>
    <bk>
      <rc t="1" v="924"/>
    </bk>
    <bk>
      <rc t="1" v="925"/>
    </bk>
    <bk>
      <rc t="1" v="926"/>
    </bk>
    <bk>
      <rc t="1" v="927"/>
    </bk>
    <bk>
      <rc t="1" v="928"/>
    </bk>
    <bk>
      <rc t="1" v="929"/>
    </bk>
    <bk>
      <rc t="1" v="930"/>
    </bk>
    <bk>
      <rc t="1" v="931"/>
    </bk>
    <bk>
      <rc t="1" v="932"/>
    </bk>
    <bk>
      <rc t="1" v="933"/>
    </bk>
    <bk>
      <rc t="1" v="934"/>
    </bk>
    <bk>
      <rc t="1" v="935"/>
    </bk>
    <bk>
      <rc t="1" v="936"/>
    </bk>
    <bk>
      <rc t="1" v="937"/>
    </bk>
    <bk>
      <rc t="1" v="938"/>
    </bk>
    <bk>
      <rc t="1" v="939"/>
    </bk>
    <bk>
      <rc t="1" v="940"/>
    </bk>
    <bk>
      <rc t="1" v="941"/>
    </bk>
    <bk>
      <rc t="1" v="942"/>
    </bk>
    <bk>
      <rc t="1" v="943"/>
    </bk>
    <bk>
      <rc t="1" v="944"/>
    </bk>
    <bk>
      <rc t="1" v="945"/>
    </bk>
    <bk>
      <rc t="1" v="946"/>
    </bk>
    <bk>
      <rc t="1" v="947"/>
    </bk>
    <bk>
      <rc t="1" v="948"/>
    </bk>
    <bk>
      <rc t="1" v="949"/>
    </bk>
    <bk>
      <rc t="1" v="950"/>
    </bk>
    <bk>
      <rc t="1" v="951"/>
    </bk>
    <bk>
      <rc t="1" v="952"/>
    </bk>
    <bk>
      <rc t="1" v="953"/>
    </bk>
    <bk>
      <rc t="1" v="954"/>
    </bk>
    <bk>
      <rc t="1" v="955"/>
    </bk>
    <bk>
      <rc t="1" v="956"/>
    </bk>
    <bk>
      <rc t="1" v="957"/>
    </bk>
    <bk>
      <rc t="1" v="958"/>
    </bk>
    <bk>
      <rc t="1" v="959"/>
    </bk>
    <bk>
      <rc t="1" v="960"/>
    </bk>
    <bk>
      <rc t="1" v="961"/>
    </bk>
    <bk>
      <rc t="1" v="962"/>
    </bk>
    <bk>
      <rc t="1" v="963"/>
    </bk>
    <bk>
      <rc t="1" v="964"/>
    </bk>
    <bk>
      <rc t="1" v="965"/>
    </bk>
    <bk>
      <rc t="1" v="966"/>
    </bk>
    <bk>
      <rc t="1" v="967"/>
    </bk>
    <bk>
      <rc t="1" v="968"/>
    </bk>
    <bk>
      <rc t="1" v="969"/>
    </bk>
    <bk>
      <rc t="1" v="970"/>
    </bk>
    <bk>
      <rc t="1" v="971"/>
    </bk>
    <bk>
      <rc t="1" v="972"/>
    </bk>
    <bk>
      <rc t="1" v="973"/>
    </bk>
    <bk>
      <rc t="1" v="974"/>
    </bk>
    <bk>
      <rc t="1" v="975"/>
    </bk>
    <bk>
      <rc t="1" v="976"/>
    </bk>
    <bk>
      <rc t="1" v="977"/>
    </bk>
    <bk>
      <rc t="1" v="978"/>
    </bk>
    <bk>
      <rc t="1" v="979"/>
    </bk>
    <bk>
      <rc t="1" v="980"/>
    </bk>
    <bk>
      <rc t="1" v="981"/>
    </bk>
    <bk>
      <rc t="1" v="982"/>
    </bk>
    <bk>
      <rc t="1" v="983"/>
    </bk>
    <bk>
      <rc t="1" v="984"/>
    </bk>
    <bk>
      <rc t="1" v="985"/>
    </bk>
    <bk>
      <rc t="1" v="986"/>
    </bk>
    <bk>
      <rc t="1" v="987"/>
    </bk>
    <bk>
      <rc t="1" v="988"/>
    </bk>
    <bk>
      <rc t="1" v="989"/>
    </bk>
    <bk>
      <rc t="1" v="990"/>
    </bk>
    <bk>
      <rc t="1" v="991"/>
    </bk>
    <bk>
      <rc t="1" v="992"/>
    </bk>
    <bk>
      <rc t="1" v="993"/>
    </bk>
    <bk>
      <rc t="1" v="994"/>
    </bk>
    <bk>
      <rc t="1" v="995"/>
    </bk>
    <bk>
      <rc t="1" v="996"/>
    </bk>
    <bk>
      <rc t="1" v="997"/>
    </bk>
    <bk>
      <rc t="1" v="998"/>
    </bk>
    <bk>
      <rc t="1" v="999"/>
    </bk>
    <bk>
      <rc t="1" v="1000"/>
    </bk>
    <bk>
      <rc t="1" v="1001"/>
    </bk>
    <bk>
      <rc t="1" v="1002"/>
    </bk>
    <bk>
      <rc t="1" v="1003"/>
    </bk>
    <bk>
      <rc t="1" v="1004"/>
    </bk>
    <bk>
      <rc t="1" v="1005"/>
    </bk>
    <bk>
      <rc t="1" v="1006"/>
    </bk>
    <bk>
      <rc t="1" v="1007"/>
    </bk>
    <bk>
      <rc t="1" v="1008"/>
    </bk>
    <bk>
      <rc t="1" v="1009"/>
    </bk>
    <bk>
      <rc t="1" v="1010"/>
    </bk>
    <bk>
      <rc t="1" v="1011"/>
    </bk>
    <bk>
      <rc t="1" v="1012"/>
    </bk>
    <bk>
      <rc t="1" v="1013"/>
    </bk>
    <bk>
      <rc t="1" v="1014"/>
    </bk>
    <bk>
      <rc t="1" v="1015"/>
    </bk>
    <bk>
      <rc t="1" v="1016"/>
    </bk>
    <bk>
      <rc t="1" v="1017"/>
    </bk>
    <bk>
      <rc t="1" v="1018"/>
    </bk>
    <bk>
      <rc t="1" v="1019"/>
    </bk>
    <bk>
      <rc t="1" v="1020"/>
    </bk>
    <bk>
      <rc t="1" v="1021"/>
    </bk>
    <bk>
      <rc t="1" v="1022"/>
    </bk>
    <bk>
      <rc t="1" v="1023"/>
    </bk>
    <bk>
      <rc t="1" v="1024"/>
    </bk>
    <bk>
      <rc t="1" v="1025"/>
    </bk>
    <bk>
      <rc t="1" v="1026"/>
    </bk>
    <bk>
      <rc t="1" v="1027"/>
    </bk>
    <bk>
      <rc t="1" v="1028"/>
    </bk>
    <bk>
      <rc t="1" v="1029"/>
    </bk>
    <bk>
      <rc t="1" v="1030"/>
    </bk>
    <bk>
      <rc t="1" v="1031"/>
    </bk>
    <bk>
      <rc t="1" v="1032"/>
    </bk>
    <bk>
      <rc t="1" v="1033"/>
    </bk>
    <bk>
      <rc t="1" v="1034"/>
    </bk>
    <bk>
      <rc t="1" v="1035"/>
    </bk>
    <bk>
      <rc t="1" v="1036"/>
    </bk>
    <bk>
      <rc t="1" v="1037"/>
    </bk>
    <bk>
      <rc t="1" v="1038"/>
    </bk>
    <bk>
      <rc t="1" v="1039"/>
    </bk>
    <bk>
      <rc t="1" v="1040"/>
    </bk>
    <bk>
      <rc t="1" v="1041"/>
    </bk>
    <bk>
      <rc t="1" v="1042"/>
    </bk>
    <bk>
      <rc t="1" v="1043"/>
    </bk>
    <bk>
      <rc t="1" v="1044"/>
    </bk>
    <bk>
      <rc t="1" v="1045"/>
    </bk>
    <bk>
      <rc t="1" v="1046"/>
    </bk>
    <bk>
      <rc t="1" v="1047"/>
    </bk>
    <bk>
      <rc t="1" v="1048"/>
    </bk>
    <bk>
      <rc t="1" v="1049"/>
    </bk>
    <bk>
      <rc t="1" v="1050"/>
    </bk>
    <bk>
      <rc t="1" v="1051"/>
    </bk>
    <bk>
      <rc t="1" v="1052"/>
    </bk>
    <bk>
      <rc t="1" v="1053"/>
    </bk>
    <bk>
      <rc t="1" v="1054"/>
    </bk>
    <bk>
      <rc t="1" v="1055"/>
    </bk>
    <bk>
      <rc t="1" v="1056"/>
    </bk>
    <bk>
      <rc t="1" v="1057"/>
    </bk>
    <bk>
      <rc t="1" v="1058"/>
    </bk>
    <bk>
      <rc t="1" v="1059"/>
    </bk>
    <bk>
      <rc t="1" v="1060"/>
    </bk>
    <bk>
      <rc t="1" v="1061"/>
    </bk>
    <bk>
      <rc t="1" v="1062"/>
    </bk>
    <bk>
      <rc t="1" v="1063"/>
    </bk>
    <bk>
      <rc t="1" v="1064"/>
    </bk>
    <bk>
      <rc t="1" v="1065"/>
    </bk>
    <bk>
      <rc t="1" v="1066"/>
    </bk>
    <bk>
      <rc t="1" v="1067"/>
    </bk>
    <bk>
      <rc t="1" v="1068"/>
    </bk>
    <bk>
      <rc t="1" v="1069"/>
    </bk>
    <bk>
      <rc t="1" v="1070"/>
    </bk>
    <bk>
      <rc t="1" v="1071"/>
    </bk>
    <bk>
      <rc t="1" v="1072"/>
    </bk>
    <bk>
      <rc t="1" v="1073"/>
    </bk>
    <bk>
      <rc t="1" v="1074"/>
    </bk>
    <bk>
      <rc t="1" v="1075"/>
    </bk>
    <bk>
      <rc t="1" v="1076"/>
    </bk>
    <bk>
      <rc t="1" v="1077"/>
    </bk>
    <bk>
      <rc t="1" v="1078"/>
    </bk>
    <bk>
      <rc t="1" v="1079"/>
    </bk>
    <bk>
      <rc t="1" v="1080"/>
    </bk>
    <bk>
      <rc t="1" v="1081"/>
    </bk>
    <bk>
      <rc t="1" v="1082"/>
    </bk>
    <bk>
      <rc t="1" v="1083"/>
    </bk>
    <bk>
      <rc t="1" v="1084"/>
    </bk>
    <bk>
      <rc t="1" v="1085"/>
    </bk>
    <bk>
      <rc t="1" v="1086"/>
    </bk>
    <bk>
      <rc t="1" v="1087"/>
    </bk>
    <bk>
      <rc t="1" v="1088"/>
    </bk>
    <bk>
      <rc t="1" v="1089"/>
    </bk>
    <bk>
      <rc t="1" v="1090"/>
    </bk>
    <bk>
      <rc t="1" v="1091"/>
    </bk>
    <bk>
      <rc t="1" v="1092"/>
    </bk>
    <bk>
      <rc t="1" v="1093"/>
    </bk>
    <bk>
      <rc t="1" v="1094"/>
    </bk>
    <bk>
      <rc t="1" v="1095"/>
    </bk>
    <bk>
      <rc t="1" v="1096"/>
    </bk>
    <bk>
      <rc t="1" v="1097"/>
    </bk>
    <bk>
      <rc t="1" v="1098"/>
    </bk>
    <bk>
      <rc t="1" v="1099"/>
    </bk>
    <bk>
      <rc t="1" v="1100"/>
    </bk>
    <bk>
      <rc t="1" v="1101"/>
    </bk>
    <bk>
      <rc t="1" v="1102"/>
    </bk>
    <bk>
      <rc t="1" v="1103"/>
    </bk>
    <bk>
      <rc t="1" v="1104"/>
    </bk>
    <bk>
      <rc t="1" v="1105"/>
    </bk>
    <bk>
      <rc t="1" v="1106"/>
    </bk>
    <bk>
      <rc t="1" v="1107"/>
    </bk>
    <bk>
      <rc t="1" v="1108"/>
    </bk>
    <bk>
      <rc t="1" v="1109"/>
    </bk>
    <bk>
      <rc t="1" v="1110"/>
    </bk>
    <bk>
      <rc t="1" v="1111"/>
    </bk>
    <bk>
      <rc t="1" v="1112"/>
    </bk>
    <bk>
      <rc t="1" v="1113"/>
    </bk>
    <bk>
      <rc t="1" v="1114"/>
    </bk>
    <bk>
      <rc t="1" v="1115"/>
    </bk>
    <bk>
      <rc t="1" v="1116"/>
    </bk>
    <bk>
      <rc t="1" v="1117"/>
    </bk>
    <bk>
      <rc t="1" v="1118"/>
    </bk>
    <bk>
      <rc t="1" v="1119"/>
    </bk>
    <bk>
      <rc t="1" v="1120"/>
    </bk>
    <bk>
      <rc t="1" v="1121"/>
    </bk>
    <bk>
      <rc t="1" v="1122"/>
    </bk>
    <bk>
      <rc t="1" v="1123"/>
    </bk>
    <bk>
      <rc t="1" v="1124"/>
    </bk>
    <bk>
      <rc t="1" v="1125"/>
    </bk>
    <bk>
      <rc t="1" v="1126"/>
    </bk>
    <bk>
      <rc t="1" v="1127"/>
    </bk>
    <bk>
      <rc t="1" v="1128"/>
    </bk>
    <bk>
      <rc t="1" v="1129"/>
    </bk>
    <bk>
      <rc t="1" v="1130"/>
    </bk>
    <bk>
      <rc t="1" v="1131"/>
    </bk>
    <bk>
      <rc t="1" v="1132"/>
    </bk>
    <bk>
      <rc t="1" v="1133"/>
    </bk>
    <bk>
      <rc t="1" v="1134"/>
    </bk>
    <bk>
      <rc t="1" v="1135"/>
    </bk>
    <bk>
      <rc t="1" v="1136"/>
    </bk>
    <bk>
      <rc t="1" v="1137"/>
    </bk>
    <bk>
      <rc t="1" v="1138"/>
    </bk>
    <bk>
      <rc t="1" v="1139"/>
    </bk>
    <bk>
      <rc t="1" v="1140"/>
    </bk>
    <bk>
      <rc t="1" v="1141"/>
    </bk>
    <bk>
      <rc t="1" v="1142"/>
    </bk>
    <bk>
      <rc t="1" v="1143"/>
    </bk>
    <bk>
      <rc t="1" v="1144"/>
    </bk>
    <bk>
      <rc t="1" v="1145"/>
    </bk>
    <bk>
      <rc t="1" v="1146"/>
    </bk>
    <bk>
      <rc t="1" v="1147"/>
    </bk>
    <bk>
      <rc t="1" v="1148"/>
    </bk>
    <bk>
      <rc t="1" v="1149"/>
    </bk>
    <bk>
      <rc t="1" v="1150"/>
    </bk>
    <bk>
      <rc t="1" v="1151"/>
    </bk>
    <bk>
      <rc t="1" v="1152"/>
    </bk>
    <bk>
      <rc t="1" v="1153"/>
    </bk>
    <bk>
      <rc t="1" v="1154"/>
    </bk>
    <bk>
      <rc t="1" v="1155"/>
    </bk>
    <bk>
      <rc t="1" v="1156"/>
    </bk>
    <bk>
      <rc t="1" v="1157"/>
    </bk>
    <bk>
      <rc t="1" v="1158"/>
    </bk>
    <bk>
      <rc t="1" v="1159"/>
    </bk>
    <bk>
      <rc t="1" v="1160"/>
    </bk>
    <bk>
      <rc t="1" v="1161"/>
    </bk>
    <bk>
      <rc t="1" v="1162"/>
    </bk>
    <bk>
      <rc t="1" v="1163"/>
    </bk>
    <bk>
      <rc t="1" v="1164"/>
    </bk>
    <bk>
      <rc t="1" v="1165"/>
    </bk>
    <bk>
      <rc t="1" v="1166"/>
    </bk>
    <bk>
      <rc t="1" v="1167"/>
    </bk>
    <bk>
      <rc t="1" v="1168"/>
    </bk>
    <bk>
      <rc t="1" v="1169"/>
    </bk>
    <bk>
      <rc t="1" v="1170"/>
    </bk>
    <bk>
      <rc t="1" v="1171"/>
    </bk>
    <bk>
      <rc t="1" v="1172"/>
    </bk>
    <bk>
      <rc t="1" v="1173"/>
    </bk>
    <bk>
      <rc t="1" v="1174"/>
    </bk>
    <bk>
      <rc t="1" v="1175"/>
    </bk>
    <bk>
      <rc t="1" v="1176"/>
    </bk>
    <bk>
      <rc t="1" v="1177"/>
    </bk>
    <bk>
      <rc t="1" v="1178"/>
    </bk>
    <bk>
      <rc t="1" v="1179"/>
    </bk>
    <bk>
      <rc t="1" v="1180"/>
    </bk>
    <bk>
      <rc t="1" v="1181"/>
    </bk>
    <bk>
      <rc t="1" v="1182"/>
    </bk>
    <bk>
      <rc t="1" v="1183"/>
    </bk>
    <bk>
      <rc t="1" v="1184"/>
    </bk>
    <bk>
      <rc t="1" v="1185"/>
    </bk>
    <bk>
      <rc t="1" v="1186"/>
    </bk>
    <bk>
      <rc t="1" v="1187"/>
    </bk>
    <bk>
      <rc t="1" v="1188"/>
    </bk>
    <bk>
      <rc t="1" v="1189"/>
    </bk>
    <bk>
      <rc t="1" v="1190"/>
    </bk>
    <bk>
      <rc t="1" v="1191"/>
    </bk>
    <bk>
      <rc t="1" v="1192"/>
    </bk>
    <bk>
      <rc t="1" v="1193"/>
    </bk>
    <bk>
      <rc t="1" v="1194"/>
    </bk>
    <bk>
      <rc t="1" v="1195"/>
    </bk>
    <bk>
      <rc t="1" v="1196"/>
    </bk>
    <bk>
      <rc t="1" v="1197"/>
    </bk>
    <bk>
      <rc t="1" v="1198"/>
    </bk>
    <bk>
      <rc t="1" v="1199"/>
    </bk>
    <bk>
      <rc t="1" v="1200"/>
    </bk>
    <bk>
      <rc t="1" v="1201"/>
    </bk>
    <bk>
      <rc t="1" v="1202"/>
    </bk>
    <bk>
      <rc t="1" v="1203"/>
    </bk>
    <bk>
      <rc t="1" v="1204"/>
    </bk>
    <bk>
      <rc t="1" v="1205"/>
    </bk>
    <bk>
      <rc t="1" v="1206"/>
    </bk>
    <bk>
      <rc t="1" v="1207"/>
    </bk>
    <bk>
      <rc t="1" v="1208"/>
    </bk>
    <bk>
      <rc t="1" v="1209"/>
    </bk>
    <bk>
      <rc t="1" v="1210"/>
    </bk>
    <bk>
      <rc t="1" v="1211"/>
    </bk>
    <bk>
      <rc t="1" v="1212"/>
    </bk>
    <bk>
      <rc t="1" v="1213"/>
    </bk>
    <bk>
      <rc t="1" v="1214"/>
    </bk>
    <bk>
      <rc t="1" v="1215"/>
    </bk>
    <bk>
      <rc t="1" v="1216"/>
    </bk>
    <bk>
      <rc t="1" v="1217"/>
    </bk>
    <bk>
      <rc t="1" v="1218"/>
    </bk>
    <bk>
      <rc t="1" v="1219"/>
    </bk>
    <bk>
      <rc t="1" v="1220"/>
    </bk>
    <bk>
      <rc t="1" v="1221"/>
    </bk>
    <bk>
      <rc t="1" v="1222"/>
    </bk>
    <bk>
      <rc t="1" v="1223"/>
    </bk>
    <bk>
      <rc t="1" v="1224"/>
    </bk>
    <bk>
      <rc t="1" v="1225"/>
    </bk>
    <bk>
      <rc t="1" v="1226"/>
    </bk>
    <bk>
      <rc t="1" v="1227"/>
    </bk>
    <bk>
      <rc t="1" v="1228"/>
    </bk>
    <bk>
      <rc t="1" v="1229"/>
    </bk>
    <bk>
      <rc t="1" v="1230"/>
    </bk>
    <bk>
      <rc t="1" v="1231"/>
    </bk>
    <bk>
      <rc t="1" v="1232"/>
    </bk>
    <bk>
      <rc t="1" v="1233"/>
    </bk>
    <bk>
      <rc t="1" v="1234"/>
    </bk>
    <bk>
      <rc t="1" v="1235"/>
    </bk>
    <bk>
      <rc t="1" v="1236"/>
    </bk>
    <bk>
      <rc t="1" v="1237"/>
    </bk>
    <bk>
      <rc t="1" v="1238"/>
    </bk>
    <bk>
      <rc t="1" v="1239"/>
    </bk>
    <bk>
      <rc t="1" v="1240"/>
    </bk>
    <bk>
      <rc t="1" v="1241"/>
    </bk>
    <bk>
      <rc t="1" v="1242"/>
    </bk>
    <bk>
      <rc t="1" v="1243"/>
    </bk>
    <bk>
      <rc t="1" v="1244"/>
    </bk>
    <bk>
      <rc t="1" v="1245"/>
    </bk>
    <bk>
      <rc t="1" v="1246"/>
    </bk>
    <bk>
      <rc t="1" v="1247"/>
    </bk>
    <bk>
      <rc t="1" v="1248"/>
    </bk>
    <bk>
      <rc t="1" v="1249"/>
    </bk>
    <bk>
      <rc t="1" v="1250"/>
    </bk>
    <bk>
      <rc t="1" v="1251"/>
    </bk>
    <bk>
      <rc t="1" v="1252"/>
    </bk>
    <bk>
      <rc t="1" v="1253"/>
    </bk>
    <bk>
      <rc t="1" v="1254"/>
    </bk>
    <bk>
      <rc t="1" v="1255"/>
    </bk>
    <bk>
      <rc t="1" v="1256"/>
    </bk>
    <bk>
      <rc t="1" v="1257"/>
    </bk>
    <bk>
      <rc t="1" v="1258"/>
    </bk>
    <bk>
      <rc t="1" v="1259"/>
    </bk>
    <bk>
      <rc t="1" v="1260"/>
    </bk>
    <bk>
      <rc t="1" v="1261"/>
    </bk>
    <bk>
      <rc t="1" v="1262"/>
    </bk>
    <bk>
      <rc t="1" v="1263"/>
    </bk>
    <bk>
      <rc t="1" v="1264"/>
    </bk>
    <bk>
      <rc t="1" v="1265"/>
    </bk>
    <bk>
      <rc t="1" v="1266"/>
    </bk>
    <bk>
      <rc t="1" v="1267"/>
    </bk>
    <bk>
      <rc t="1" v="1268"/>
    </bk>
    <bk>
      <rc t="1" v="1269"/>
    </bk>
    <bk>
      <rc t="1" v="1270"/>
    </bk>
    <bk>
      <rc t="1" v="1271"/>
    </bk>
    <bk>
      <rc t="1" v="1272"/>
    </bk>
    <bk>
      <rc t="1" v="1273"/>
    </bk>
    <bk>
      <rc t="1" v="1274"/>
    </bk>
    <bk>
      <rc t="1" v="1275"/>
    </bk>
    <bk>
      <rc t="1" v="1276"/>
    </bk>
    <bk>
      <rc t="1" v="1277"/>
    </bk>
    <bk>
      <rc t="1" v="1278"/>
    </bk>
    <bk>
      <rc t="1" v="1279"/>
    </bk>
    <bk>
      <rc t="1" v="1280"/>
    </bk>
    <bk>
      <rc t="1" v="1281"/>
    </bk>
    <bk>
      <rc t="1" v="1282"/>
    </bk>
    <bk>
      <rc t="1" v="1283"/>
    </bk>
    <bk>
      <rc t="1" v="1284"/>
    </bk>
    <bk>
      <rc t="1" v="1285"/>
    </bk>
    <bk>
      <rc t="1" v="1286"/>
    </bk>
    <bk>
      <rc t="1" v="1287"/>
    </bk>
    <bk>
      <rc t="1" v="1288"/>
    </bk>
    <bk>
      <rc t="1" v="1289"/>
    </bk>
    <bk>
      <rc t="1" v="1290"/>
    </bk>
    <bk>
      <rc t="1" v="1291"/>
    </bk>
    <bk>
      <rc t="1" v="1292"/>
    </bk>
    <bk>
      <rc t="1" v="1293"/>
    </bk>
    <bk>
      <rc t="1" v="1294"/>
    </bk>
    <bk>
      <rc t="1" v="1295"/>
    </bk>
    <bk>
      <rc t="1" v="1296"/>
    </bk>
    <bk>
      <rc t="1" v="1297"/>
    </bk>
    <bk>
      <rc t="1" v="1298"/>
    </bk>
    <bk>
      <rc t="1" v="1299"/>
    </bk>
    <bk>
      <rc t="1" v="1300"/>
    </bk>
    <bk>
      <rc t="1" v="1301"/>
    </bk>
    <bk>
      <rc t="1" v="1302"/>
    </bk>
    <bk>
      <rc t="1" v="1303"/>
    </bk>
    <bk>
      <rc t="1" v="1304"/>
    </bk>
    <bk>
      <rc t="1" v="1305"/>
    </bk>
    <bk>
      <rc t="1" v="1306"/>
    </bk>
    <bk>
      <rc t="1" v="1307"/>
    </bk>
    <bk>
      <rc t="1" v="1308"/>
    </bk>
    <bk>
      <rc t="1" v="1309"/>
    </bk>
    <bk>
      <rc t="1" v="1310"/>
    </bk>
    <bk>
      <rc t="1" v="1311"/>
    </bk>
    <bk>
      <rc t="1" v="1312"/>
    </bk>
    <bk>
      <rc t="1" v="1313"/>
    </bk>
    <bk>
      <rc t="1" v="1314"/>
    </bk>
    <bk>
      <rc t="1" v="1315"/>
    </bk>
    <bk>
      <rc t="1" v="1316"/>
    </bk>
    <bk>
      <rc t="1" v="1317"/>
    </bk>
    <bk>
      <rc t="1" v="1318"/>
    </bk>
    <bk>
      <rc t="1" v="1319"/>
    </bk>
    <bk>
      <rc t="1" v="1320"/>
    </bk>
    <bk>
      <rc t="1" v="1321"/>
    </bk>
    <bk>
      <rc t="1" v="1322"/>
    </bk>
    <bk>
      <rc t="1" v="1323"/>
    </bk>
    <bk>
      <rc t="1" v="1324"/>
    </bk>
    <bk>
      <rc t="1" v="1325"/>
    </bk>
    <bk>
      <rc t="1" v="1326"/>
    </bk>
    <bk>
      <rc t="1" v="1327"/>
    </bk>
    <bk>
      <rc t="1" v="1328"/>
    </bk>
    <bk>
      <rc t="1" v="1329"/>
    </bk>
    <bk>
      <rc t="1" v="1330"/>
    </bk>
    <bk>
      <rc t="1" v="1331"/>
    </bk>
    <bk>
      <rc t="1" v="1332"/>
    </bk>
    <bk>
      <rc t="1" v="1333"/>
    </bk>
    <bk>
      <rc t="1" v="1334"/>
    </bk>
    <bk>
      <rc t="1" v="1335"/>
    </bk>
    <bk>
      <rc t="1" v="1336"/>
    </bk>
    <bk>
      <rc t="1" v="1337"/>
    </bk>
    <bk>
      <rc t="1" v="1338"/>
    </bk>
    <bk>
      <rc t="1" v="1339"/>
    </bk>
    <bk>
      <rc t="1" v="1340"/>
    </bk>
    <bk>
      <rc t="1" v="1341"/>
    </bk>
    <bk>
      <rc t="1" v="1342"/>
    </bk>
    <bk>
      <rc t="1" v="1343"/>
    </bk>
    <bk>
      <rc t="1" v="1344"/>
    </bk>
    <bk>
      <rc t="1" v="1345"/>
    </bk>
    <bk>
      <rc t="1" v="1346"/>
    </bk>
    <bk>
      <rc t="1" v="1347"/>
    </bk>
    <bk>
      <rc t="1" v="1348"/>
    </bk>
    <bk>
      <rc t="1" v="1349"/>
    </bk>
    <bk>
      <rc t="1" v="1350"/>
    </bk>
    <bk>
      <rc t="1" v="1351"/>
    </bk>
    <bk>
      <rc t="1" v="1352"/>
    </bk>
    <bk>
      <rc t="1" v="1353"/>
    </bk>
    <bk>
      <rc t="1" v="1354"/>
    </bk>
    <bk>
      <rc t="1" v="1355"/>
    </bk>
    <bk>
      <rc t="1" v="1356"/>
    </bk>
    <bk>
      <rc t="1" v="1357"/>
    </bk>
    <bk>
      <rc t="1" v="1358"/>
    </bk>
    <bk>
      <rc t="1" v="1359"/>
    </bk>
    <bk>
      <rc t="1" v="1360"/>
    </bk>
    <bk>
      <rc t="1" v="1361"/>
    </bk>
    <bk>
      <rc t="1" v="1362"/>
    </bk>
    <bk>
      <rc t="1" v="1363"/>
    </bk>
    <bk>
      <rc t="1" v="1364"/>
    </bk>
    <bk>
      <rc t="1" v="1365"/>
    </bk>
    <bk>
      <rc t="1" v="1366"/>
    </bk>
    <bk>
      <rc t="1" v="1367"/>
    </bk>
    <bk>
      <rc t="1" v="1368"/>
    </bk>
    <bk>
      <rc t="1" v="1369"/>
    </bk>
    <bk>
      <rc t="1" v="1370"/>
    </bk>
    <bk>
      <rc t="1" v="1371"/>
    </bk>
    <bk>
      <rc t="1" v="1372"/>
    </bk>
    <bk>
      <rc t="1" v="1373"/>
    </bk>
    <bk>
      <rc t="1" v="1374"/>
    </bk>
    <bk>
      <rc t="1" v="1375"/>
    </bk>
    <bk>
      <rc t="1" v="1376"/>
    </bk>
    <bk>
      <rc t="1" v="1377"/>
    </bk>
    <bk>
      <rc t="1" v="1378"/>
    </bk>
    <bk>
      <rc t="1" v="1379"/>
    </bk>
    <bk>
      <rc t="1" v="1380"/>
    </bk>
    <bk>
      <rc t="1" v="1381"/>
    </bk>
    <bk>
      <rc t="1" v="1382"/>
    </bk>
    <bk>
      <rc t="1" v="1383"/>
    </bk>
    <bk>
      <rc t="1" v="1384"/>
    </bk>
    <bk>
      <rc t="1" v="1385"/>
    </bk>
    <bk>
      <rc t="1" v="1386"/>
    </bk>
    <bk>
      <rc t="1" v="1387"/>
    </bk>
    <bk>
      <rc t="1" v="1388"/>
    </bk>
    <bk>
      <rc t="1" v="1389"/>
    </bk>
    <bk>
      <rc t="1" v="1390"/>
    </bk>
    <bk>
      <rc t="1" v="1391"/>
    </bk>
    <bk>
      <rc t="1" v="1392"/>
    </bk>
    <bk>
      <rc t="1" v="1393"/>
    </bk>
    <bk>
      <rc t="1" v="1394"/>
    </bk>
    <bk>
      <rc t="1" v="1395"/>
    </bk>
    <bk>
      <rc t="1" v="1396"/>
    </bk>
    <bk>
      <rc t="1" v="1397"/>
    </bk>
    <bk>
      <rc t="1" v="1398"/>
    </bk>
    <bk>
      <rc t="1" v="1399"/>
    </bk>
    <bk>
      <rc t="1" v="1400"/>
    </bk>
    <bk>
      <rc t="1" v="1401"/>
    </bk>
    <bk>
      <rc t="1" v="1402"/>
    </bk>
    <bk>
      <rc t="1" v="1403"/>
    </bk>
    <bk>
      <rc t="1" v="1404"/>
    </bk>
    <bk>
      <rc t="1" v="1405"/>
    </bk>
    <bk>
      <rc t="1" v="1406"/>
    </bk>
    <bk>
      <rc t="1" v="1407"/>
    </bk>
    <bk>
      <rc t="1" v="1408"/>
    </bk>
    <bk>
      <rc t="1" v="1409"/>
    </bk>
    <bk>
      <rc t="1" v="1410"/>
    </bk>
    <bk>
      <rc t="1" v="1411"/>
    </bk>
    <bk>
      <rc t="1" v="1412"/>
    </bk>
    <bk>
      <rc t="1" v="1413"/>
    </bk>
    <bk>
      <rc t="1" v="1414"/>
    </bk>
    <bk>
      <rc t="1" v="1415"/>
    </bk>
    <bk>
      <rc t="1" v="1416"/>
    </bk>
    <bk>
      <rc t="1" v="1417"/>
    </bk>
    <bk>
      <rc t="1" v="1418"/>
    </bk>
    <bk>
      <rc t="1" v="1419"/>
    </bk>
    <bk>
      <rc t="1" v="1420"/>
    </bk>
    <bk>
      <rc t="1" v="1421"/>
    </bk>
    <bk>
      <rc t="1" v="1422"/>
    </bk>
    <bk>
      <rc t="1" v="1423"/>
    </bk>
    <bk>
      <rc t="1" v="1424"/>
    </bk>
    <bk>
      <rc t="1" v="1425"/>
    </bk>
    <bk>
      <rc t="1" v="1426"/>
    </bk>
    <bk>
      <rc t="1" v="1427"/>
    </bk>
    <bk>
      <rc t="1" v="1428"/>
    </bk>
    <bk>
      <rc t="1" v="1429"/>
    </bk>
    <bk>
      <rc t="1" v="1430"/>
    </bk>
    <bk>
      <rc t="1" v="1431"/>
    </bk>
    <bk>
      <rc t="1" v="1432"/>
    </bk>
    <bk>
      <rc t="1" v="1433"/>
    </bk>
    <bk>
      <rc t="1" v="1434"/>
    </bk>
    <bk>
      <rc t="1" v="1435"/>
    </bk>
    <bk>
      <rc t="1" v="1436"/>
    </bk>
    <bk>
      <rc t="1" v="1437"/>
    </bk>
    <bk>
      <rc t="1" v="1438"/>
    </bk>
    <bk>
      <rc t="1" v="1439"/>
    </bk>
    <bk>
      <rc t="1" v="1440"/>
    </bk>
    <bk>
      <rc t="1" v="1441"/>
    </bk>
    <bk>
      <rc t="1" v="1442"/>
    </bk>
    <bk>
      <rc t="1" v="1443"/>
    </bk>
    <bk>
      <rc t="1" v="1444"/>
    </bk>
    <bk>
      <rc t="1" v="1445"/>
    </bk>
    <bk>
      <rc t="1" v="1446"/>
    </bk>
    <bk>
      <rc t="1" v="1447"/>
    </bk>
    <bk>
      <rc t="1" v="1448"/>
    </bk>
    <bk>
      <rc t="1" v="1449"/>
    </bk>
    <bk>
      <rc t="1" v="1450"/>
    </bk>
    <bk>
      <rc t="1" v="1451"/>
    </bk>
    <bk>
      <rc t="1" v="1452"/>
    </bk>
    <bk>
      <rc t="1" v="1453"/>
    </bk>
    <bk>
      <rc t="1" v="1454"/>
    </bk>
    <bk>
      <rc t="1" v="1455"/>
    </bk>
    <bk>
      <rc t="1" v="1456"/>
    </bk>
    <bk>
      <rc t="1" v="1457"/>
    </bk>
    <bk>
      <rc t="1" v="1458"/>
    </bk>
    <bk>
      <rc t="1" v="1459"/>
    </bk>
    <bk>
      <rc t="1" v="1460"/>
    </bk>
    <bk>
      <rc t="1" v="1461"/>
    </bk>
    <bk>
      <rc t="1" v="1462"/>
    </bk>
    <bk>
      <rc t="1" v="1463"/>
    </bk>
    <bk>
      <rc t="1" v="1464"/>
    </bk>
    <bk>
      <rc t="1" v="1465"/>
    </bk>
    <bk>
      <rc t="1" v="1466"/>
    </bk>
    <bk>
      <rc t="1" v="1467"/>
    </bk>
    <bk>
      <rc t="1" v="1468"/>
    </bk>
    <bk>
      <rc t="1" v="1469"/>
    </bk>
    <bk>
      <rc t="1" v="1470"/>
    </bk>
    <bk>
      <rc t="1" v="1471"/>
    </bk>
    <bk>
      <rc t="1" v="1472"/>
    </bk>
    <bk>
      <rc t="1" v="1473"/>
    </bk>
    <bk>
      <rc t="1" v="1474"/>
    </bk>
    <bk>
      <rc t="1" v="1475"/>
    </bk>
    <bk>
      <rc t="1" v="1476"/>
    </bk>
    <bk>
      <rc t="1" v="1477"/>
    </bk>
    <bk>
      <rc t="1" v="1478"/>
    </bk>
    <bk>
      <rc t="1" v="1479"/>
    </bk>
    <bk>
      <rc t="1" v="1480"/>
    </bk>
    <bk>
      <rc t="1" v="1481"/>
    </bk>
    <bk>
      <rc t="1" v="1482"/>
    </bk>
    <bk>
      <rc t="1" v="1483"/>
    </bk>
    <bk>
      <rc t="1" v="1484"/>
    </bk>
    <bk>
      <rc t="1" v="1485"/>
    </bk>
    <bk>
      <rc t="1" v="1486"/>
    </bk>
    <bk>
      <rc t="1" v="1487"/>
    </bk>
    <bk>
      <rc t="1" v="1488"/>
    </bk>
    <bk>
      <rc t="1" v="1489"/>
    </bk>
    <bk>
      <rc t="1" v="1490"/>
    </bk>
    <bk>
      <rc t="1" v="1491"/>
    </bk>
    <bk>
      <rc t="1" v="1492"/>
    </bk>
    <bk>
      <rc t="1" v="1493"/>
    </bk>
    <bk>
      <rc t="1" v="1494"/>
    </bk>
    <bk>
      <rc t="1" v="1495"/>
    </bk>
    <bk>
      <rc t="1" v="1496"/>
    </bk>
    <bk>
      <rc t="1" v="1497"/>
    </bk>
    <bk>
      <rc t="1" v="1498"/>
    </bk>
    <bk>
      <rc t="1" v="1499"/>
    </bk>
    <bk>
      <rc t="1" v="1500"/>
    </bk>
    <bk>
      <rc t="1" v="1501"/>
    </bk>
    <bk>
      <rc t="1" v="1502"/>
    </bk>
    <bk>
      <rc t="1" v="1503"/>
    </bk>
    <bk>
      <rc t="1" v="1504"/>
    </bk>
    <bk>
      <rc t="1" v="1505"/>
    </bk>
    <bk>
      <rc t="1" v="1506"/>
    </bk>
    <bk>
      <rc t="1" v="1507"/>
    </bk>
    <bk>
      <rc t="1" v="1508"/>
    </bk>
    <bk>
      <rc t="1" v="1509"/>
    </bk>
    <bk>
      <rc t="1" v="1510"/>
    </bk>
    <bk>
      <rc t="1" v="1511"/>
    </bk>
    <bk>
      <rc t="1" v="1512"/>
    </bk>
    <bk>
      <rc t="1" v="1513"/>
    </bk>
    <bk>
      <rc t="1" v="1514"/>
    </bk>
    <bk>
      <rc t="1" v="1515"/>
    </bk>
    <bk>
      <rc t="1" v="1516"/>
    </bk>
    <bk>
      <rc t="1" v="1517"/>
    </bk>
    <bk>
      <rc t="1" v="1518"/>
    </bk>
    <bk>
      <rc t="1" v="1519"/>
    </bk>
    <bk>
      <rc t="1" v="1520"/>
    </bk>
    <bk>
      <rc t="1" v="1521"/>
    </bk>
    <bk>
      <rc t="1" v="1522"/>
    </bk>
    <bk>
      <rc t="1" v="1523"/>
    </bk>
    <bk>
      <rc t="1" v="1524"/>
    </bk>
    <bk>
      <rc t="1" v="1525"/>
    </bk>
    <bk>
      <rc t="1" v="1526"/>
    </bk>
    <bk>
      <rc t="1" v="1527"/>
    </bk>
    <bk>
      <rc t="1" v="1528"/>
    </bk>
    <bk>
      <rc t="1" v="1529"/>
    </bk>
    <bk>
      <rc t="1" v="1530"/>
    </bk>
    <bk>
      <rc t="1" v="1531"/>
    </bk>
    <bk>
      <rc t="1" v="1532"/>
    </bk>
    <bk>
      <rc t="1" v="1533"/>
    </bk>
    <bk>
      <rc t="1" v="1534"/>
    </bk>
    <bk>
      <rc t="1" v="1535"/>
    </bk>
    <bk>
      <rc t="1" v="1536"/>
    </bk>
    <bk>
      <rc t="1" v="1537"/>
    </bk>
    <bk>
      <rc t="1" v="1538"/>
    </bk>
    <bk>
      <rc t="1" v="1539"/>
    </bk>
    <bk>
      <rc t="1" v="1540"/>
    </bk>
    <bk>
      <rc t="1" v="1541"/>
    </bk>
    <bk>
      <rc t="1" v="1542"/>
    </bk>
    <bk>
      <rc t="1" v="1543"/>
    </bk>
    <bk>
      <rc t="1" v="1544"/>
    </bk>
    <bk>
      <rc t="1" v="1545"/>
    </bk>
    <bk>
      <rc t="1" v="1546"/>
    </bk>
    <bk>
      <rc t="1" v="1547"/>
    </bk>
    <bk>
      <rc t="1" v="1548"/>
    </bk>
    <bk>
      <rc t="1" v="1549"/>
    </bk>
    <bk>
      <rc t="1" v="1550"/>
    </bk>
    <bk>
      <rc t="1" v="1551"/>
    </bk>
    <bk>
      <rc t="1" v="1552"/>
    </bk>
    <bk>
      <rc t="1" v="1553"/>
    </bk>
    <bk>
      <rc t="1" v="1554"/>
    </bk>
    <bk>
      <rc t="1" v="1555"/>
    </bk>
    <bk>
      <rc t="1" v="1556"/>
    </bk>
    <bk>
      <rc t="1" v="1557"/>
    </bk>
    <bk>
      <rc t="1" v="1558"/>
    </bk>
    <bk>
      <rc t="1" v="1559"/>
    </bk>
    <bk>
      <rc t="1" v="1560"/>
    </bk>
    <bk>
      <rc t="1" v="1561"/>
    </bk>
    <bk>
      <rc t="1" v="1562"/>
    </bk>
    <bk>
      <rc t="1" v="1563"/>
    </bk>
    <bk>
      <rc t="1" v="1564"/>
    </bk>
    <bk>
      <rc t="1" v="1565"/>
    </bk>
    <bk>
      <rc t="1" v="1566"/>
    </bk>
    <bk>
      <rc t="1" v="1567"/>
    </bk>
    <bk>
      <rc t="1" v="1568"/>
    </bk>
    <bk>
      <rc t="1" v="1569"/>
    </bk>
    <bk>
      <rc t="1" v="1570"/>
    </bk>
    <bk>
      <rc t="1" v="1571"/>
    </bk>
    <bk>
      <rc t="1" v="1572"/>
    </bk>
    <bk>
      <rc t="1" v="1573"/>
    </bk>
    <bk>
      <rc t="1" v="1574"/>
    </bk>
    <bk>
      <rc t="1" v="1575"/>
    </bk>
    <bk>
      <rc t="1" v="1576"/>
    </bk>
    <bk>
      <rc t="1" v="1577"/>
    </bk>
    <bk>
      <rc t="1" v="1578"/>
    </bk>
    <bk>
      <rc t="1" v="1579"/>
    </bk>
    <bk>
      <rc t="1" v="1580"/>
    </bk>
    <bk>
      <rc t="1" v="1581"/>
    </bk>
    <bk>
      <rc t="1" v="1582"/>
    </bk>
    <bk>
      <rc t="1" v="1583"/>
    </bk>
    <bk>
      <rc t="1" v="1584"/>
    </bk>
    <bk>
      <rc t="1" v="1585"/>
    </bk>
    <bk>
      <rc t="1" v="1586"/>
    </bk>
    <bk>
      <rc t="1" v="1587"/>
    </bk>
    <bk>
      <rc t="1" v="1588"/>
    </bk>
    <bk>
      <rc t="1" v="1589"/>
    </bk>
    <bk>
      <rc t="1" v="1590"/>
    </bk>
    <bk>
      <rc t="1" v="1591"/>
    </bk>
    <bk>
      <rc t="1" v="1592"/>
    </bk>
    <bk>
      <rc t="1" v="1593"/>
    </bk>
    <bk>
      <rc t="1" v="1594"/>
    </bk>
    <bk>
      <rc t="1" v="1595"/>
    </bk>
    <bk>
      <rc t="1" v="1596"/>
    </bk>
    <bk>
      <rc t="1" v="1597"/>
    </bk>
    <bk>
      <rc t="1" v="1598"/>
    </bk>
    <bk>
      <rc t="1" v="1599"/>
    </bk>
    <bk>
      <rc t="1" v="1600"/>
    </bk>
    <bk>
      <rc t="1" v="1601"/>
    </bk>
    <bk>
      <rc t="1" v="1602"/>
    </bk>
    <bk>
      <rc t="1" v="1603"/>
    </bk>
    <bk>
      <rc t="1" v="1604"/>
    </bk>
    <bk>
      <rc t="1" v="1605"/>
    </bk>
    <bk>
      <rc t="1" v="1606"/>
    </bk>
    <bk>
      <rc t="1" v="1607"/>
    </bk>
    <bk>
      <rc t="1" v="1608"/>
    </bk>
    <bk>
      <rc t="1" v="1609"/>
    </bk>
    <bk>
      <rc t="1" v="1610"/>
    </bk>
    <bk>
      <rc t="1" v="1611"/>
    </bk>
    <bk>
      <rc t="1" v="1612"/>
    </bk>
    <bk>
      <rc t="1" v="1613"/>
    </bk>
    <bk>
      <rc t="1" v="1614"/>
    </bk>
    <bk>
      <rc t="1" v="1615"/>
    </bk>
    <bk>
      <rc t="1" v="1616"/>
    </bk>
    <bk>
      <rc t="1" v="1617"/>
    </bk>
    <bk>
      <rc t="1" v="1618"/>
    </bk>
    <bk>
      <rc t="1" v="1619"/>
    </bk>
    <bk>
      <rc t="1" v="1620"/>
    </bk>
    <bk>
      <rc t="1" v="1621"/>
    </bk>
    <bk>
      <rc t="1" v="1622"/>
    </bk>
    <bk>
      <rc t="1" v="1623"/>
    </bk>
    <bk>
      <rc t="1" v="1624"/>
    </bk>
    <bk>
      <rc t="1" v="1625"/>
    </bk>
    <bk>
      <rc t="1" v="1626"/>
    </bk>
    <bk>
      <rc t="1" v="1627"/>
    </bk>
    <bk>
      <rc t="1" v="1628"/>
    </bk>
    <bk>
      <rc t="1" v="1629"/>
    </bk>
    <bk>
      <rc t="1" v="1630"/>
    </bk>
    <bk>
      <rc t="1" v="1631"/>
    </bk>
    <bk>
      <rc t="1" v="1632"/>
    </bk>
    <bk>
      <rc t="1" v="1633"/>
    </bk>
    <bk>
      <rc t="1" v="1634"/>
    </bk>
    <bk>
      <rc t="1" v="1635"/>
    </bk>
    <bk>
      <rc t="1" v="1636"/>
    </bk>
    <bk>
      <rc t="1" v="1637"/>
    </bk>
    <bk>
      <rc t="1" v="1638"/>
    </bk>
    <bk>
      <rc t="1" v="1639"/>
    </bk>
    <bk>
      <rc t="1" v="1640"/>
    </bk>
    <bk>
      <rc t="1" v="1641"/>
    </bk>
    <bk>
      <rc t="1" v="1642"/>
    </bk>
    <bk>
      <rc t="1" v="1643"/>
    </bk>
    <bk>
      <rc t="1" v="1644"/>
    </bk>
    <bk>
      <rc t="1" v="1645"/>
    </bk>
    <bk>
      <rc t="1" v="1646"/>
    </bk>
    <bk>
      <rc t="1" v="1647"/>
    </bk>
    <bk>
      <rc t="1" v="1648"/>
    </bk>
    <bk>
      <rc t="1" v="1649"/>
    </bk>
    <bk>
      <rc t="1" v="1650"/>
    </bk>
    <bk>
      <rc t="1" v="1651"/>
    </bk>
    <bk>
      <rc t="1" v="1652"/>
    </bk>
    <bk>
      <rc t="1" v="1653"/>
    </bk>
    <bk>
      <rc t="1" v="1654"/>
    </bk>
    <bk>
      <rc t="1" v="1655"/>
    </bk>
    <bk>
      <rc t="1" v="1656"/>
    </bk>
    <bk>
      <rc t="1" v="1657"/>
    </bk>
    <bk>
      <rc t="1" v="1658"/>
    </bk>
    <bk>
      <rc t="1" v="1659"/>
    </bk>
    <bk>
      <rc t="1" v="1660"/>
    </bk>
    <bk>
      <rc t="1" v="1661"/>
    </bk>
    <bk>
      <rc t="1" v="1662"/>
    </bk>
    <bk>
      <rc t="1" v="1663"/>
    </bk>
    <bk>
      <rc t="1" v="1664"/>
    </bk>
    <bk>
      <rc t="1" v="1665"/>
    </bk>
    <bk>
      <rc t="1" v="1666"/>
    </bk>
    <bk>
      <rc t="1" v="1667"/>
    </bk>
    <bk>
      <rc t="1" v="1668"/>
    </bk>
    <bk>
      <rc t="1" v="1669"/>
    </bk>
    <bk>
      <rc t="1" v="1670"/>
    </bk>
    <bk>
      <rc t="1" v="1671"/>
    </bk>
    <bk>
      <rc t="1" v="1672"/>
    </bk>
    <bk>
      <rc t="1" v="1673"/>
    </bk>
    <bk>
      <rc t="1" v="1674"/>
    </bk>
    <bk>
      <rc t="1" v="1675"/>
    </bk>
    <bk>
      <rc t="1" v="1676"/>
    </bk>
    <bk>
      <rc t="1" v="1677"/>
    </bk>
    <bk>
      <rc t="1" v="1678"/>
    </bk>
    <bk>
      <rc t="1" v="1679"/>
    </bk>
    <bk>
      <rc t="1" v="1680"/>
    </bk>
    <bk>
      <rc t="1" v="1681"/>
    </bk>
    <bk>
      <rc t="1" v="1682"/>
    </bk>
    <bk>
      <rc t="1" v="1683"/>
    </bk>
    <bk>
      <rc t="1" v="1684"/>
    </bk>
    <bk>
      <rc t="1" v="1685"/>
    </bk>
    <bk>
      <rc t="1" v="1686"/>
    </bk>
    <bk>
      <rc t="1" v="1687"/>
    </bk>
    <bk>
      <rc t="1" v="1688"/>
    </bk>
    <bk>
      <rc t="1" v="1689"/>
    </bk>
    <bk>
      <rc t="1" v="1690"/>
    </bk>
    <bk>
      <rc t="1" v="1691"/>
    </bk>
    <bk>
      <rc t="1" v="1692"/>
    </bk>
    <bk>
      <rc t="1" v="1693"/>
    </bk>
    <bk>
      <rc t="1" v="1694"/>
    </bk>
    <bk>
      <rc t="1" v="1695"/>
    </bk>
    <bk>
      <rc t="1" v="1696"/>
    </bk>
    <bk>
      <rc t="1" v="1697"/>
    </bk>
    <bk>
      <rc t="1" v="1698"/>
    </bk>
    <bk>
      <rc t="1" v="1699"/>
    </bk>
    <bk>
      <rc t="1" v="1700"/>
    </bk>
    <bk>
      <rc t="1" v="1701"/>
    </bk>
    <bk>
      <rc t="1" v="1702"/>
    </bk>
    <bk>
      <rc t="1" v="1703"/>
    </bk>
    <bk>
      <rc t="1" v="1704"/>
    </bk>
    <bk>
      <rc t="1" v="1705"/>
    </bk>
    <bk>
      <rc t="1" v="1706"/>
    </bk>
    <bk>
      <rc t="1" v="1707"/>
    </bk>
    <bk>
      <rc t="1" v="1708"/>
    </bk>
    <bk>
      <rc t="1" v="1709"/>
    </bk>
    <bk>
      <rc t="1" v="1710"/>
    </bk>
    <bk>
      <rc t="1" v="1711"/>
    </bk>
    <bk>
      <rc t="1" v="1712"/>
    </bk>
    <bk>
      <rc t="1" v="1713"/>
    </bk>
    <bk>
      <rc t="1" v="1714"/>
    </bk>
    <bk>
      <rc t="1" v="1715"/>
    </bk>
    <bk>
      <rc t="1" v="1716"/>
    </bk>
    <bk>
      <rc t="1" v="1717"/>
    </bk>
    <bk>
      <rc t="1" v="1718"/>
    </bk>
    <bk>
      <rc t="1" v="1719"/>
    </bk>
    <bk>
      <rc t="1" v="1720"/>
    </bk>
    <bk>
      <rc t="1" v="1721"/>
    </bk>
    <bk>
      <rc t="1" v="1722"/>
    </bk>
    <bk>
      <rc t="1" v="1723"/>
    </bk>
    <bk>
      <rc t="1" v="1724"/>
    </bk>
    <bk>
      <rc t="1" v="1725"/>
    </bk>
    <bk>
      <rc t="1" v="1726"/>
    </bk>
    <bk>
      <rc t="1" v="1727"/>
    </bk>
    <bk>
      <rc t="1" v="1728"/>
    </bk>
    <bk>
      <rc t="1" v="1729"/>
    </bk>
    <bk>
      <rc t="1" v="1730"/>
    </bk>
    <bk>
      <rc t="1" v="1731"/>
    </bk>
    <bk>
      <rc t="1" v="1732"/>
    </bk>
    <bk>
      <rc t="1" v="1733"/>
    </bk>
    <bk>
      <rc t="1" v="1734"/>
    </bk>
    <bk>
      <rc t="1" v="1735"/>
    </bk>
    <bk>
      <rc t="1" v="1736"/>
    </bk>
    <bk>
      <rc t="1" v="1737"/>
    </bk>
    <bk>
      <rc t="1" v="1738"/>
    </bk>
    <bk>
      <rc t="1" v="1739"/>
    </bk>
    <bk>
      <rc t="1" v="1740"/>
    </bk>
    <bk>
      <rc t="1" v="1741"/>
    </bk>
    <bk>
      <rc t="1" v="1742"/>
    </bk>
    <bk>
      <rc t="1" v="1743"/>
    </bk>
    <bk>
      <rc t="1" v="1744"/>
    </bk>
    <bk>
      <rc t="1" v="1745"/>
    </bk>
    <bk>
      <rc t="1" v="1746"/>
    </bk>
    <bk>
      <rc t="1" v="1747"/>
    </bk>
    <bk>
      <rc t="1" v="1748"/>
    </bk>
    <bk>
      <rc t="1" v="1749"/>
    </bk>
    <bk>
      <rc t="1" v="1750"/>
    </bk>
    <bk>
      <rc t="1" v="1751"/>
    </bk>
    <bk>
      <rc t="1" v="1752"/>
    </bk>
    <bk>
      <rc t="1" v="1753"/>
    </bk>
    <bk>
      <rc t="1" v="1754"/>
    </bk>
    <bk>
      <rc t="1" v="1755"/>
    </bk>
    <bk>
      <rc t="1" v="1756"/>
    </bk>
    <bk>
      <rc t="1" v="1757"/>
    </bk>
    <bk>
      <rc t="1" v="1758"/>
    </bk>
    <bk>
      <rc t="1" v="1759"/>
    </bk>
    <bk>
      <rc t="1" v="1760"/>
    </bk>
    <bk>
      <rc t="1" v="1761"/>
    </bk>
    <bk>
      <rc t="1" v="1762"/>
    </bk>
    <bk>
      <rc t="1" v="1763"/>
    </bk>
    <bk>
      <rc t="1" v="1764"/>
    </bk>
    <bk>
      <rc t="1" v="1765"/>
    </bk>
    <bk>
      <rc t="1" v="1766"/>
    </bk>
    <bk>
      <rc t="1" v="1767"/>
    </bk>
    <bk>
      <rc t="1" v="1768"/>
    </bk>
    <bk>
      <rc t="1" v="1769"/>
    </bk>
    <bk>
      <rc t="1" v="1770"/>
    </bk>
    <bk>
      <rc t="1" v="1771"/>
    </bk>
    <bk>
      <rc t="1" v="1772"/>
    </bk>
    <bk>
      <rc t="1" v="1773"/>
    </bk>
    <bk>
      <rc t="1" v="1774"/>
    </bk>
    <bk>
      <rc t="1" v="1775"/>
    </bk>
    <bk>
      <rc t="1" v="1776"/>
    </bk>
    <bk>
      <rc t="1" v="1777"/>
    </bk>
    <bk>
      <rc t="1" v="1778"/>
    </bk>
    <bk>
      <rc t="1" v="1779"/>
    </bk>
    <bk>
      <rc t="1" v="1780"/>
    </bk>
    <bk>
      <rc t="1" v="1781"/>
    </bk>
    <bk>
      <rc t="1" v="1782"/>
    </bk>
    <bk>
      <rc t="1" v="1783"/>
    </bk>
    <bk>
      <rc t="1" v="1784"/>
    </bk>
    <bk>
      <rc t="1" v="1785"/>
    </bk>
    <bk>
      <rc t="1" v="1786"/>
    </bk>
    <bk>
      <rc t="1" v="1787"/>
    </bk>
    <bk>
      <rc t="1" v="1788"/>
    </bk>
    <bk>
      <rc t="1" v="1789"/>
    </bk>
    <bk>
      <rc t="1" v="1790"/>
    </bk>
    <bk>
      <rc t="1" v="1791"/>
    </bk>
    <bk>
      <rc t="1" v="1792"/>
    </bk>
    <bk>
      <rc t="1" v="1793"/>
    </bk>
    <bk>
      <rc t="1" v="1794"/>
    </bk>
    <bk>
      <rc t="1" v="1795"/>
    </bk>
    <bk>
      <rc t="1" v="1796"/>
    </bk>
    <bk>
      <rc t="1" v="1797"/>
    </bk>
    <bk>
      <rc t="1" v="1798"/>
    </bk>
    <bk>
      <rc t="1" v="1799"/>
    </bk>
    <bk>
      <rc t="1" v="1800"/>
    </bk>
    <bk>
      <rc t="1" v="1801"/>
    </bk>
    <bk>
      <rc t="1" v="1802"/>
    </bk>
    <bk>
      <rc t="1" v="1803"/>
    </bk>
    <bk>
      <rc t="1" v="1804"/>
    </bk>
    <bk>
      <rc t="1" v="1805"/>
    </bk>
    <bk>
      <rc t="1" v="1806"/>
    </bk>
    <bk>
      <rc t="1" v="1807"/>
    </bk>
    <bk>
      <rc t="1" v="1808"/>
    </bk>
    <bk>
      <rc t="1" v="1809"/>
    </bk>
    <bk>
      <rc t="1" v="1810"/>
    </bk>
    <bk>
      <rc t="1" v="1811"/>
    </bk>
    <bk>
      <rc t="1" v="1812"/>
    </bk>
    <bk>
      <rc t="1" v="1813"/>
    </bk>
    <bk>
      <rc t="1" v="1814"/>
    </bk>
    <bk>
      <rc t="1" v="1815"/>
    </bk>
    <bk>
      <rc t="1" v="1816"/>
    </bk>
    <bk>
      <rc t="1" v="1817"/>
    </bk>
    <bk>
      <rc t="1" v="1818"/>
    </bk>
    <bk>
      <rc t="1" v="1819"/>
    </bk>
    <bk>
      <rc t="1" v="1820"/>
    </bk>
    <bk>
      <rc t="1" v="1821"/>
    </bk>
    <bk>
      <rc t="1" v="1822"/>
    </bk>
    <bk>
      <rc t="1" v="1823"/>
    </bk>
    <bk>
      <rc t="1" v="1824"/>
    </bk>
    <bk>
      <rc t="1" v="1825"/>
    </bk>
    <bk>
      <rc t="1" v="1826"/>
    </bk>
    <bk>
      <rc t="1" v="1827"/>
    </bk>
    <bk>
      <rc t="1" v="1828"/>
    </bk>
    <bk>
      <rc t="1" v="1829"/>
    </bk>
    <bk>
      <rc t="1" v="1830"/>
    </bk>
    <bk>
      <rc t="1" v="1831"/>
    </bk>
    <bk>
      <rc t="1" v="1832"/>
    </bk>
    <bk>
      <rc t="1" v="1833"/>
    </bk>
    <bk>
      <rc t="1" v="1834"/>
    </bk>
    <bk>
      <rc t="1" v="1835"/>
    </bk>
    <bk>
      <rc t="1" v="1836"/>
    </bk>
    <bk>
      <rc t="1" v="1837"/>
    </bk>
    <bk>
      <rc t="1" v="1838"/>
    </bk>
    <bk>
      <rc t="1" v="1839"/>
    </bk>
    <bk>
      <rc t="1" v="1840"/>
    </bk>
    <bk>
      <rc t="1" v="1841"/>
    </bk>
    <bk>
      <rc t="1" v="1842"/>
    </bk>
    <bk>
      <rc t="1" v="1843"/>
    </bk>
    <bk>
      <rc t="1" v="1844"/>
    </bk>
    <bk>
      <rc t="1" v="1845"/>
    </bk>
    <bk>
      <rc t="1" v="1846"/>
    </bk>
    <bk>
      <rc t="1" v="1847"/>
    </bk>
    <bk>
      <rc t="1" v="1848"/>
    </bk>
    <bk>
      <rc t="1" v="1849"/>
    </bk>
    <bk>
      <rc t="1" v="1850"/>
    </bk>
    <bk>
      <rc t="1" v="1851"/>
    </bk>
    <bk>
      <rc t="1" v="1852"/>
    </bk>
    <bk>
      <rc t="1" v="1853"/>
    </bk>
    <bk>
      <rc t="1" v="1854"/>
    </bk>
    <bk>
      <rc t="1" v="1855"/>
    </bk>
    <bk>
      <rc t="1" v="1856"/>
    </bk>
    <bk>
      <rc t="1" v="1857"/>
    </bk>
    <bk>
      <rc t="1" v="1858"/>
    </bk>
    <bk>
      <rc t="1" v="1859"/>
    </bk>
    <bk>
      <rc t="1" v="1860"/>
    </bk>
    <bk>
      <rc t="1" v="1861"/>
    </bk>
    <bk>
      <rc t="1" v="1862"/>
    </bk>
    <bk>
      <rc t="1" v="1863"/>
    </bk>
    <bk>
      <rc t="1" v="1864"/>
    </bk>
    <bk>
      <rc t="1" v="1865"/>
    </bk>
    <bk>
      <rc t="1" v="1866"/>
    </bk>
    <bk>
      <rc t="1" v="1867"/>
    </bk>
    <bk>
      <rc t="1" v="1868"/>
    </bk>
    <bk>
      <rc t="1" v="1869"/>
    </bk>
    <bk>
      <rc t="1" v="1870"/>
    </bk>
    <bk>
      <rc t="1" v="1871"/>
    </bk>
    <bk>
      <rc t="1" v="1872"/>
    </bk>
    <bk>
      <rc t="1" v="1873"/>
    </bk>
    <bk>
      <rc t="1" v="1874"/>
    </bk>
    <bk>
      <rc t="1" v="1875"/>
    </bk>
    <bk>
      <rc t="1" v="1876"/>
    </bk>
    <bk>
      <rc t="1" v="1877"/>
    </bk>
    <bk>
      <rc t="1" v="1878"/>
    </bk>
    <bk>
      <rc t="1" v="1879"/>
    </bk>
    <bk>
      <rc t="1" v="1880"/>
    </bk>
    <bk>
      <rc t="1" v="1881"/>
    </bk>
    <bk>
      <rc t="1" v="1882"/>
    </bk>
    <bk>
      <rc t="1" v="1883"/>
    </bk>
    <bk>
      <rc t="1" v="1884"/>
    </bk>
    <bk>
      <rc t="1" v="1885"/>
    </bk>
    <bk>
      <rc t="1" v="1886"/>
    </bk>
    <bk>
      <rc t="1" v="1887"/>
    </bk>
    <bk>
      <rc t="1" v="1888"/>
    </bk>
    <bk>
      <rc t="1" v="1889"/>
    </bk>
    <bk>
      <rc t="1" v="1890"/>
    </bk>
    <bk>
      <rc t="1" v="1891"/>
    </bk>
    <bk>
      <rc t="1" v="1892"/>
    </bk>
    <bk>
      <rc t="1" v="1893"/>
    </bk>
    <bk>
      <rc t="1" v="1894"/>
    </bk>
    <bk>
      <rc t="1" v="1895"/>
    </bk>
    <bk>
      <rc t="1" v="1896"/>
    </bk>
    <bk>
      <rc t="1" v="1897"/>
    </bk>
    <bk>
      <rc t="1" v="1898"/>
    </bk>
    <bk>
      <rc t="1" v="1899"/>
    </bk>
    <bk>
      <rc t="1" v="1900"/>
    </bk>
    <bk>
      <rc t="1" v="1901"/>
    </bk>
    <bk>
      <rc t="1" v="1902"/>
    </bk>
    <bk>
      <rc t="1" v="1903"/>
    </bk>
    <bk>
      <rc t="1" v="1904"/>
    </bk>
    <bk>
      <rc t="1" v="1905"/>
    </bk>
    <bk>
      <rc t="1" v="1906"/>
    </bk>
    <bk>
      <rc t="1" v="1907"/>
    </bk>
    <bk>
      <rc t="1" v="1908"/>
    </bk>
    <bk>
      <rc t="1" v="1909"/>
    </bk>
    <bk>
      <rc t="1" v="1910"/>
    </bk>
    <bk>
      <rc t="1" v="1911"/>
    </bk>
    <bk>
      <rc t="1" v="1912"/>
    </bk>
    <bk>
      <rc t="1" v="1913"/>
    </bk>
    <bk>
      <rc t="1" v="1914"/>
    </bk>
    <bk>
      <rc t="1" v="1915"/>
    </bk>
    <bk>
      <rc t="1" v="1916"/>
    </bk>
    <bk>
      <rc t="1" v="1917"/>
    </bk>
    <bk>
      <rc t="1" v="1918"/>
    </bk>
    <bk>
      <rc t="1" v="1919"/>
    </bk>
    <bk>
      <rc t="1" v="1920"/>
    </bk>
    <bk>
      <rc t="1" v="1921"/>
    </bk>
    <bk>
      <rc t="1" v="1922"/>
    </bk>
    <bk>
      <rc t="1" v="1923"/>
    </bk>
    <bk>
      <rc t="1" v="1924"/>
    </bk>
    <bk>
      <rc t="1" v="1925"/>
    </bk>
    <bk>
      <rc t="1" v="1926"/>
    </bk>
    <bk>
      <rc t="1" v="1927"/>
    </bk>
    <bk>
      <rc t="1" v="1928"/>
    </bk>
    <bk>
      <rc t="1" v="1929"/>
    </bk>
    <bk>
      <rc t="1" v="1930"/>
    </bk>
    <bk>
      <rc t="1" v="1931"/>
    </bk>
    <bk>
      <rc t="1" v="1932"/>
    </bk>
    <bk>
      <rc t="1" v="1933"/>
    </bk>
    <bk>
      <rc t="1" v="1934"/>
    </bk>
    <bk>
      <rc t="1" v="1935"/>
    </bk>
    <bk>
      <rc t="1" v="1936"/>
    </bk>
    <bk>
      <rc t="1" v="1937"/>
    </bk>
    <bk>
      <rc t="1" v="1938"/>
    </bk>
    <bk>
      <rc t="1" v="1939"/>
    </bk>
  </valueMetadata>
</metadata>
</file>

<file path=xl/sharedStrings.xml><?xml version="1.0" encoding="utf-8"?>
<sst xmlns="http://schemas.openxmlformats.org/spreadsheetml/2006/main" count="1040" uniqueCount="303">
  <si>
    <t>CROATIA OSIGURANJE D.D.</t>
  </si>
  <si>
    <t>TRIGLAV OSIGURANJE D.D.</t>
  </si>
  <si>
    <t>ALLIANZ ZAGREB D.D</t>
  </si>
  <si>
    <t>JADRANSKO OSIGURANJE D.D.</t>
  </si>
  <si>
    <t>EUROHERC OSIGURANJE D.D.</t>
  </si>
  <si>
    <t>GRAWE HRVATSKA D.D</t>
  </si>
  <si>
    <t>MERKUR OSIGURANJE D.D.</t>
  </si>
  <si>
    <t>SUNCE OSIGURANJE D.D.</t>
  </si>
  <si>
    <t>UNIQA OSIGURANJE D.D.</t>
  </si>
  <si>
    <t>HOK OSIGURANJE D.D.</t>
  </si>
  <si>
    <t>GENERALI OSIGURANJE D.D.</t>
  </si>
  <si>
    <t>ERSTE OSIGURANJE VIG D.D.</t>
  </si>
  <si>
    <t>VELEBIT OSIGURANJE D.D.</t>
  </si>
  <si>
    <t>IZVOR OSIGURANJE D.D.</t>
  </si>
  <si>
    <t>NazivDrustva</t>
  </si>
  <si>
    <t>CROATIA LLOYD D.D.</t>
  </si>
  <si>
    <t>IDDrustvo</t>
  </si>
  <si>
    <t>Row Labels</t>
  </si>
  <si>
    <t>BASLER OSIGURANJE D.D.</t>
  </si>
  <si>
    <t>BASLER ŽIVOTNO OSIGURANJE D.D.</t>
  </si>
  <si>
    <t>BNP PARIBAS CARDIF OSIGURANJE D.D</t>
  </si>
  <si>
    <t>COSMOPOLITAN LIFE VIENNA INSURANCE GROUP D.D.</t>
  </si>
  <si>
    <t>HRVATSKO KREDITNO OSIGURANJE D.D.</t>
  </si>
  <si>
    <t>KD LIFE OSIGURANJE D.D.</t>
  </si>
  <si>
    <t>SOCIETE GENERALE OSIGURANJE D.D.</t>
  </si>
  <si>
    <t>VELEBIT ŽIVOTNO OSIGURANJE D.D.</t>
  </si>
  <si>
    <t>HRVATSKI URED ZA OSIGURANJE</t>
  </si>
  <si>
    <t>MEDITERAN OSIGURANJE D.D.</t>
  </si>
  <si>
    <t>SLAVONIJA OSIGURANJE D.D.</t>
  </si>
  <si>
    <t>ADRIA OSIGURANJE D.D.</t>
  </si>
  <si>
    <t>AURUM WIENER STÄDTISCHE OSIGURANJE D.D.</t>
  </si>
  <si>
    <t>VERITAS OSIGURANJE D.D.</t>
  </si>
  <si>
    <t>ATLAS OSIGURANJE D.D.</t>
  </si>
  <si>
    <t>ALPINA OSIGURANJE D.D.</t>
  </si>
  <si>
    <t xml:space="preserve">NEŽIVOTNA OSIGURANJA </t>
  </si>
  <si>
    <t>ŽIVOTNA OSIGURANJA</t>
  </si>
  <si>
    <t>UKUPNO</t>
  </si>
  <si>
    <t>Zaračunata bruto premija u kn</t>
  </si>
  <si>
    <t>Udio u %</t>
  </si>
  <si>
    <t>Osiguratelj</t>
  </si>
  <si>
    <t>Vrste osiguranja</t>
  </si>
  <si>
    <t>Broj osiguranja</t>
  </si>
  <si>
    <t>Broj šteta</t>
  </si>
  <si>
    <t>Likvidirane štete, bruto iznosi u kn</t>
  </si>
  <si>
    <t>Vrsta rizika</t>
  </si>
  <si>
    <t>udio u %</t>
  </si>
  <si>
    <t>Ukupno obvezna osiguranja u prometu</t>
  </si>
  <si>
    <t>01.01</t>
  </si>
  <si>
    <t>01.02</t>
  </si>
  <si>
    <t>01.03</t>
  </si>
  <si>
    <t>01.04</t>
  </si>
  <si>
    <t>01.05</t>
  </si>
  <si>
    <t>01.06</t>
  </si>
  <si>
    <t>01.07</t>
  </si>
  <si>
    <t>01.99</t>
  </si>
  <si>
    <t>02</t>
  </si>
  <si>
    <t>02.01</t>
  </si>
  <si>
    <t>02.02</t>
  </si>
  <si>
    <t>02.04</t>
  </si>
  <si>
    <t>02.06</t>
  </si>
  <si>
    <t>02.99</t>
  </si>
  <si>
    <t>Ukupno 01 i 02</t>
  </si>
  <si>
    <t>Ukupno 03, 04, 05 i 06</t>
  </si>
  <si>
    <t>Ukupno 07, 08 i 09</t>
  </si>
  <si>
    <t>Ukupno 10, 11 i 12</t>
  </si>
  <si>
    <t>Likvidirane štete, bruto iznos u kn</t>
  </si>
  <si>
    <t>Ukupno 13</t>
  </si>
  <si>
    <t>Ukupno 14, 15, 16, 17 i 18</t>
  </si>
  <si>
    <t>Ukupno život</t>
  </si>
  <si>
    <t>Kretanja na tržištu osiguranja</t>
  </si>
  <si>
    <t>Popis izvještaja:</t>
  </si>
  <si>
    <t>V</t>
  </si>
  <si>
    <t>Svibanj</t>
  </si>
  <si>
    <t>MjesecOznaka</t>
  </si>
  <si>
    <t>MjesecNaziv</t>
  </si>
  <si>
    <t>I</t>
  </si>
  <si>
    <t>II</t>
  </si>
  <si>
    <t>III</t>
  </si>
  <si>
    <t>IV</t>
  </si>
  <si>
    <t>VI</t>
  </si>
  <si>
    <t>VII</t>
  </si>
  <si>
    <t>VIII</t>
  </si>
  <si>
    <t>IX</t>
  </si>
  <si>
    <t>X</t>
  </si>
  <si>
    <t>XI</t>
  </si>
  <si>
    <t>XII</t>
  </si>
  <si>
    <t>Siječanj</t>
  </si>
  <si>
    <t>Veljača</t>
  </si>
  <si>
    <t>Ožujak</t>
  </si>
  <si>
    <t>Travanj</t>
  </si>
  <si>
    <t>Lipanj</t>
  </si>
  <si>
    <t>Srpanj</t>
  </si>
  <si>
    <t>Kolovoz</t>
  </si>
  <si>
    <t>Rujan</t>
  </si>
  <si>
    <t>Listopad</t>
  </si>
  <si>
    <t>Studeni</t>
  </si>
  <si>
    <t>Prosinac</t>
  </si>
  <si>
    <t>I.-III</t>
  </si>
  <si>
    <t>I.-VI</t>
  </si>
  <si>
    <t>I.-IX</t>
  </si>
  <si>
    <t>I.-XII</t>
  </si>
  <si>
    <t xml:space="preserve">I. tromjesečje </t>
  </si>
  <si>
    <t xml:space="preserve">II. tromjesečje </t>
  </si>
  <si>
    <t xml:space="preserve">III. tromjesečje </t>
  </si>
  <si>
    <t xml:space="preserve">IV. tromjesečje </t>
  </si>
  <si>
    <t>ERGO ŽIVOTNO OSIGURANJE D.D .</t>
  </si>
  <si>
    <t>WÜSTENROT ŽIVOTNO OSIGURANJE D.D .</t>
  </si>
  <si>
    <t>Učestalost podatka</t>
  </si>
  <si>
    <t>Godina podatka</t>
  </si>
  <si>
    <t>HELIOS VIENNA INSURANCE GROUP DD --&gt; WIENER OSIG.</t>
  </si>
  <si>
    <t>WIENER OSIGURANJE VIENNA INSURANCE GROUP  D.D</t>
  </si>
  <si>
    <t>CROATIA ZDRAVSTVENO OSIGURANJE DD</t>
  </si>
  <si>
    <t>NEPOZNATO DRUSTVO</t>
  </si>
  <si>
    <t>ERGO OSIGURANJE D.D</t>
  </si>
  <si>
    <t>CROATIA OSIGURANJE D.D. putem AVUS-a</t>
  </si>
  <si>
    <t>BASLER OSIGURANJE ZAGREB D.D. --&gt; UNIQA OSIG.</t>
  </si>
  <si>
    <t>AGRAM LIFE OSIGURANJE DD</t>
  </si>
  <si>
    <t>Relat.(%)</t>
  </si>
  <si>
    <t>Aps.(kn)</t>
  </si>
  <si>
    <t>Aps.(kom)</t>
  </si>
  <si>
    <t>Zagreb, 11.03.2015</t>
  </si>
  <si>
    <t>PREGLED ZARAČUNATE BRUTO PREMIJE PO DRUŠTVIMA ZA OSIGURANJE -Veljača./2015.-</t>
  </si>
  <si>
    <t>PREGLED OSIGURANJA PO DRUŠTVIMA ZA OSIGURANJE -Veljača./2015.-</t>
  </si>
  <si>
    <t>PREGLED ZARAČUNATE BRUTO PREMIJE PO VRSTAMA OSIGURANJA II./2015</t>
  </si>
  <si>
    <t>PREGLED BROJA OSIGURANJA PO VRSTAMA OSIGURANJA -Veljača./2015.-</t>
  </si>
  <si>
    <t>PREGLED BROJA LIKVIDIRANIH ŠTETA PO VRSTAMA OSIGURANJA -Veljača./2015.-</t>
  </si>
  <si>
    <t>VRIJEDNOST LIKVIDIRANIH ŠTETA  PO VRSTAMA OSIGURANJA -Veljača./2015.-</t>
  </si>
  <si>
    <t>ZARAČUNATA BRUTO PREMIJA I BROJ OSIGURANJA OBVEZNIH OSIGURANJA U PROMETU -Veljača./2015.-</t>
  </si>
  <si>
    <t>BROJ I VRIJEDNOST LIKVIDIRANIH ŠTETA OBVEZNIH OSIGURANJA U PROMETU -Veljača./2015.-</t>
  </si>
  <si>
    <t>ZARAČUNATA BRUTO PREMIJA I BROJ OSIGURANJA ODABRANIH VRSTA OSIGURANJA / RIZIKA (NEZGODA I ZDRAVSTVENO) -Veljača./2015.-</t>
  </si>
  <si>
    <t>BROJ I VRIJEDNOST LIKVIDIRANIH ŠTETA ODABRANIH VRSTA OSIGURANJA / RIZIKA (NEZGODA I ZDRAVSTVENO) -Veljača./2015.-</t>
  </si>
  <si>
    <t>ZARAČUNATA BRUTO PPREMIJA I BROJ OSIGURANJA ODABRANIH VRSTA OSIGURANJA / RIZIKA(KASKO) -Veljača./2015.-</t>
  </si>
  <si>
    <t>BROJ I VRIJEDNOST LIKVIDIRANIH ŠTETA ODABRANIH VRSTA OSIGURANJA / RIZIKA(KASKO) -Veljača./2015.-</t>
  </si>
  <si>
    <t>ZARAČUNATA BRUTO PPREMIJA I BROJ OSIGURANJA ODABRANIH VRSTA OSIGURANJA / RIZIKA(IMOVINA) -Veljača./2015.-</t>
  </si>
  <si>
    <t>BROJ I VRIJEDNOST LIKVIDIRANIH ŠTETA ODABRANIH VRSTA OSIGURANJA / RIZIKA(IMOVINA) -Veljača./2015.-</t>
  </si>
  <si>
    <t>ZARAČUNATA BRUTO PPREMIJA I BROJ OSIGURANJA ODABRANIH VRSTA OSIGURANJA / RIZIKA(ODGOVORNOST) -Veljača./2015.-</t>
  </si>
  <si>
    <t>BROJ I VRIJEDNOST LIKVIDIRANIH ŠTETA ODABRANIH VRSTA OSIGURANJA / RIZIKA(ODGOVORNOST) -Veljača./2015.-</t>
  </si>
  <si>
    <t>ZARAČUNATA BRUTO PPREMIJA I BROJ OSIGURANJA ODABRANIH VRSTA OSIGURANJA / RIZIKA -Veljača./2015.-</t>
  </si>
  <si>
    <t>BROJ I VRIJEDNOST LIKVIDIRANIH ŠTETA ODABRANIH VRSTA OSIGURANJA / RIZIKA -Veljača./2015.-</t>
  </si>
  <si>
    <t>ZARAČUNATA BRUTO PPREMIJA I BROJ OSIGURANJA ODABRANIH VRSTA OSIGURANJA / RIZIKA(ŽIVOT) -Veljača./2015.-</t>
  </si>
  <si>
    <t>BROJ I VRIJEDNOST LIKVIDIRANIH ŠTETA ODABRANIH VRSTA OSIGURANJA / RIZIKA(ŽIVOT) -Veljača./2015.-</t>
  </si>
  <si>
    <t>PREGLED ZARAČUNATE BRUTO PREMIJE PO DRUŠTVIMA ZA OSIGURANJE -Veljača 2015.-</t>
  </si>
  <si>
    <t>% promjene 15/14</t>
  </si>
  <si>
    <t>II./2014</t>
  </si>
  <si>
    <t>II./2015</t>
  </si>
  <si>
    <t>-</t>
  </si>
  <si>
    <t>Ukupno</t>
  </si>
  <si>
    <t>19.01 OSIGURANJE ŽIVOTA ZA SLUČAJ SMRTI I DOŽIVLJENJA (MJEŠOVITO OSIGURANJE)</t>
  </si>
  <si>
    <t>19.02 OSIGURANJE ZA SLUČAJ SMRTI</t>
  </si>
  <si>
    <t>19.03 OSIGURANJE ZA SLUČAJ DOŽIVLJENJA</t>
  </si>
  <si>
    <t>19.04 DOŽIVOTNO OSIGURANJE ZA SLUČAJ SMRTI</t>
  </si>
  <si>
    <t>19.05 OSIGURANJE KRITIČNIH BOLESTI</t>
  </si>
  <si>
    <t>19.99 OSTALA OSIGURANJA ŽIVOTA</t>
  </si>
  <si>
    <t>19 ŽIVOTNO OSIGURANJE</t>
  </si>
  <si>
    <t>20.01 OSIGURANJE OSOBNE DOŽIVOTNE RENTE</t>
  </si>
  <si>
    <t>20.02 OSIGURANJE OSOBNE RENTE S ODREĐENIM TRAJANJEM</t>
  </si>
  <si>
    <t>20.99 OSTALA RENTNA OSIGURANJA</t>
  </si>
  <si>
    <t>20 RENTNO OSIGURANJE</t>
  </si>
  <si>
    <t>21.01 DOPUNSKO OSIGURANJE OD POSLJEDICA NEZGODE UZ OSIGURANJE ŽIVOTA</t>
  </si>
  <si>
    <t>21.02 DOPUNSKO ZDRAVSTVENO OSIGURANJE UZ OSIGURANJE ŽIVOTA</t>
  </si>
  <si>
    <t>21.99 OSTALA DOPUNSKA OSIGURANJA UZ OSIGURANJE ŽIVOTA</t>
  </si>
  <si>
    <t>21 DOPUNSKA OSIGURANJA ŽIVOTNOG OSIGURANJA</t>
  </si>
  <si>
    <t>22.01 OSIGURANJE ZA SLUČAJ VJENČANJA ILI ROĐENJA</t>
  </si>
  <si>
    <t>22 OSIGURANJE ZA SLUČAJ VJENČANJA ILI ROĐENJA</t>
  </si>
  <si>
    <t>23.01 OSIG. ŽIVOTA ZA SLUČAJ SMRTI I DOŽIVLJENJA KOD KOJEG UGOVARATELJ OSIGURANJA SNOSI RIZIK ULAGANJA</t>
  </si>
  <si>
    <t>23.02 OSIGURANJE ZA SLUČAJ SMRTI KOD KOJEG UGOVARATELJ OSIGURANJA SNOSI RIZIK ULAGANJA</t>
  </si>
  <si>
    <t>23.03 OSIGURANJE ZA SLUČAJ DOŽIVLJENJA KOD KOJEG UGOVARATELJ OSIGURANJA SNOSI RIZIK ULAGANJA</t>
  </si>
  <si>
    <t>23.04 ŽIVOTNO OSIGURANJE KOD KOJEG UGOVARATELJ OSIGURANJA SNOSI RIZIK ULAGANJA S GARANCIJOM ISPLATE</t>
  </si>
  <si>
    <t>23.99 OSTALA ŽIVOTNA OSIGURANJA KOD KOJIH UGOVARATELJ OSIGURANJA SNOSI RIZIK ULAGANJA</t>
  </si>
  <si>
    <t>23 ŽIVOTNA ILI RENTNA OSIGURANJA KOD KOJIH UGOVARATELJ OSIGURANJA SNOSI RIZIK ULAGANJA</t>
  </si>
  <si>
    <t>24.01 TONTINE</t>
  </si>
  <si>
    <t>24 TONTINE</t>
  </si>
  <si>
    <t>25.01 OSIGURANJE S KAPITALIZACIJOM ISPLATE</t>
  </si>
  <si>
    <t>24 OSIGURANJE S KAPITALIZACIJOM</t>
  </si>
  <si>
    <t>14.01 OSIGURANJE IZVOZNIH POTRAŽIVANJA</t>
  </si>
  <si>
    <t>14.02 OSIGURANJE DRUGIH VRSTA POTRAŽIVANJA</t>
  </si>
  <si>
    <t>14.03 OSIGURANJE STAMBENIH KREDITA</t>
  </si>
  <si>
    <t>14 OSIGURANJE KREDITA</t>
  </si>
  <si>
    <t>15.01 OSIGURANJE JAMSTVA</t>
  </si>
  <si>
    <t>15.02 OSIGURANJE GARANCIJA</t>
  </si>
  <si>
    <t>15 OSIGURANJE JAMSTVA</t>
  </si>
  <si>
    <t>16.01 OSIG. FINANC. GUBITAKA RADI PREKIDA RADA ZBOG POŽARA I NEKIH DRUGIH OPASNOSTI</t>
  </si>
  <si>
    <t>16.02 OSIGURANJE FINANCIJSKIH GUBITAKA RADI PREKIDA RADA ZBOG LOMA STROJEVA</t>
  </si>
  <si>
    <t>16.03 OSIGURANJE RAZNIH PRIREDBI ZBOG ATMOSFERSKIH OBORINA</t>
  </si>
  <si>
    <t>16.04 OSIGURANJE OD ŠTETA ZBOG OTKUPA KRIVOTVORENIH INOZEMNIH SREDSTAVA PLAĆANJA</t>
  </si>
  <si>
    <t>16.05 OSIGURANJE OPASNOSTI OTKAZA TURISTIČKIH PUTOVANJA</t>
  </si>
  <si>
    <t>16.99 OSTALA OSIGURANJA FINANCIJSKIH GUBITAKA</t>
  </si>
  <si>
    <t>16 OSIGURANJE RAZNIH FINANCIJSKIH GUBITAKA</t>
  </si>
  <si>
    <t>17.01 OSIGURANJE TROŠKOVA PRAVNE ZAŠTITE I TROŠKOVA SUDSKOG POSTUPKA</t>
  </si>
  <si>
    <t>17 OSIGURANJE TROŠKOVA PRAVNE ZAŠTITE</t>
  </si>
  <si>
    <t>18.01 TURISTIČKO OSIGURANJE</t>
  </si>
  <si>
    <t>18.03 PUTNO ZDRAVSTVENO OSIGURANJE</t>
  </si>
  <si>
    <t>18.04 OSIGURANJE POMOĆI (ASISTENCIJE) ZA VRIJEME PUTA, IZVAN MJESTA BORAVKA ILI PREBIVALIŠTA</t>
  </si>
  <si>
    <t>18.99 OSTALA OSIGURANJA TURISTIČKIH RIZIKA</t>
  </si>
  <si>
    <t>18 PUTNO OSIGURANJE</t>
  </si>
  <si>
    <t>Indeks 15/14</t>
  </si>
  <si>
    <t/>
  </si>
  <si>
    <t>13.01 OSIGURANJE UGOVORNE ODGOVORNOSTI IZVOĐAČA GRAĐEVINSKIH RADOVA</t>
  </si>
  <si>
    <t>13.02 OSIGURANJE UGOVORNE ODGOVORNOSTI IZVOĐAČA MONTAŽNIH RADOVA</t>
  </si>
  <si>
    <t>13.03 OSIGURANJE OD ODGOVORNOSTI PROIZVOĐAČA FILMOVA</t>
  </si>
  <si>
    <t>13.04 OSIGURANJE OD ODGOVORNOSTI PROIZVOĐAČA ZA PROIZVODE</t>
  </si>
  <si>
    <t>13.05 OSIGURANJE OD ODGOVORNOSTI U ŽELJEZNIČKOM PROMETU</t>
  </si>
  <si>
    <t>13.06 OSIGURANJE GARANCIJE PRIZVOĐAČA, PRODAVAČA I DOBAVLJAČA</t>
  </si>
  <si>
    <t>13.07 OSIGURANJE OPĆE ODGOVORNOSTI</t>
  </si>
  <si>
    <t>13.08 OSIGURANJE OD ODG. PROJEKTNIH I DRUGIH DRUŠTAVA ZA ŠTETE NA OBJEKTIMA ZBOG NISPRAVNE TEH. DOK.</t>
  </si>
  <si>
    <t>13.09 OSIGURANJE OD ODGOVORNOSTI PROJEKTNIH I DRUGIH DRUŠTAVA</t>
  </si>
  <si>
    <t>13.10 OSIGURANJE OD ODGOVORNOSTI ODVJETNIKA</t>
  </si>
  <si>
    <t>13.11 OSIGURANJE OD ODGOVORNOSTI JAVNIH BILJEŽNIKA</t>
  </si>
  <si>
    <t>13.12 OSIGURANJE OD ODGOVORNOSTI REVIZORSKIH TVRTKI</t>
  </si>
  <si>
    <t>13.13 OSIGURANJE OD ODGOVORNOSTI ŠPEDITERA</t>
  </si>
  <si>
    <t>13.14 OSIGURANJE OD ODGOVORNOSTI VLASNIKA ODNOSNO KORISNIKA MARINE</t>
  </si>
  <si>
    <t>13.15 OSIGURANJE OD ODGOVORNOSTI BRODOPOPRAVLJAČA</t>
  </si>
  <si>
    <t>13.16 OSIGURANJE OD ODGOVORNOSTI OBAVLJANJA ZAŠTITARSKIH I DETEKTIVSKIH DJELATNOSTI</t>
  </si>
  <si>
    <t>13.17 OSIGURANJE OD ODGOVORNOSTI IZ OBAVLJANJA DJELATNOSTI UPRAVLJANJA NEKRETNINAMA</t>
  </si>
  <si>
    <t>13.18 OSIGURANJE OD ODGOVORNOSTI IZ OBAVLJANJA LIJEČNIČKE, STOMATOLOŠKE I LJEKARNIČKE DJELATNOSTI</t>
  </si>
  <si>
    <t>13.19 OSIGURANJE OD ODGOVORNOSTI STEČAJNIH UPRAVITELJA</t>
  </si>
  <si>
    <t>13.99 OSTALA OSIGURANJA OD ODGOVORNOSTI</t>
  </si>
  <si>
    <t>13 OSTALA OSIGURANJA OD ODGOVORNOSTI</t>
  </si>
  <si>
    <t>10.01 OBV. OSIG. VLASNIKA ODNOSNO KORISNIKA MOT. VOZILA OD ODG. ZA ŠTETE TREĆIM OSOBAMA</t>
  </si>
  <si>
    <t>10.02 DRAGOVOLJNO OSIG. VLASNIKA ODNOSNO KORISNIKA MOTORNIH VOZILA OD ODG. ZA ŠTETE TREĆIM OSOBAMA</t>
  </si>
  <si>
    <t>10.03 OSIG. OD ODGOVORNOSTI VOZARA ZA ROBU PRIMLJENU NA PRIJEVOZ U CESTOVNOM PROMETU</t>
  </si>
  <si>
    <t>10.99 OSTALA OSIGURANJA OD AUTOMOBILSKE ODGOVORNOSTI</t>
  </si>
  <si>
    <t>10 OSIGURANJE OD ODGOVORNOSTI ZA UPOTREBU MOTORNIH VOZILA</t>
  </si>
  <si>
    <t>11.01 OBV. OSIG. VLASNIKA ODNOSNO KORISNIKA ZRAČNIH LETJELICA OD ODG. ZA ŠTETE TREĆIM OSOBAMA</t>
  </si>
  <si>
    <t>11.02 OSIG. VLASNIKA ODN. KORIS. ZRAČNIH LETJELICA OD ODG. SVIH VRSTA</t>
  </si>
  <si>
    <t>11 OSIGURANJE OD ODGOVORNOSTI ZA UPOTREBU ZRAČNIH LETJELICA</t>
  </si>
  <si>
    <t>12.01 OSIG. OD ODG. VLASNIKA ODNOSNO KORISNIKA POMORSKIH BRODOVA</t>
  </si>
  <si>
    <t>12.02 OSIG. OD ODG. VLASNIKA ODNOSNO KORISNIKA RIJEČNIH I JEZERSKIH PLOVILA</t>
  </si>
  <si>
    <t>12.03 OBVEZNO OSIG. OD ODG. VLASNIKA ODNOSNO KORISNIKA BRODICA NA MOTORNI POGON ZA ŠTETE TREĆIM OSOBAMA</t>
  </si>
  <si>
    <t>12.99 OSTALA OSIGURANJA OD ODGOVORNOSTI ZA UPOTREBU PLOVILA</t>
  </si>
  <si>
    <t>12 OSIGURANJE OD ODGOVORNOSTI ZA UPOTREBU PLOVILA</t>
  </si>
  <si>
    <t>BROJ I VRIJEDNOST LIKVIDIRANIH ŠTETA ODABRANIH VRSTA OSIGURANJA / RIZIKA(IMOVINA)  -Veljača 2015.-</t>
  </si>
  <si>
    <t>07.01 OSIGURANJE ROBE U POMORSKOM PRIJEVOZU</t>
  </si>
  <si>
    <t>07.02 OSIGURANJE ROBE U AVIONSKOM PRIJEVOZU</t>
  </si>
  <si>
    <t>07.03 OSIGURANJE ROBE U KOPNENOM PRIJEVOZU</t>
  </si>
  <si>
    <t>07.04 OSIGURANJE ROBE ZA VRIJEME USKLADIŠTENJA</t>
  </si>
  <si>
    <t>07.99 OSTALA OSIGURANJA ROBE U PRIJEVOZU</t>
  </si>
  <si>
    <t>07 OSIGURANJE ROBE U PRIJEVOZU</t>
  </si>
  <si>
    <t>08.01 OSIGURANJE OD POŽARA I ELEMENTARNIH NEPOGODA IZVAN INDUSTRIJE I OBRTA</t>
  </si>
  <si>
    <t>08.02 OSIGURANJE OD POŽARA I ELEMENTARNIH NEPOGODA U INDUSTRIJI I OBRTU</t>
  </si>
  <si>
    <t>08.99 OSTALA OSIGURANJA OD POŽARA I ELEMENTARNIH NEPOGODA</t>
  </si>
  <si>
    <t>08 OSIGURANJE OD POŽARA I ELEMENTARNIH ŠTETA</t>
  </si>
  <si>
    <t>09.01 OSIGURANJE STROJEVA OD LOMA</t>
  </si>
  <si>
    <t>09.02 OSIGURANJE OD PROVALNE KRAĐE I RAZBOJSTVA</t>
  </si>
  <si>
    <t>09.03 OSIGURANJE STAKLA OD LOMA</t>
  </si>
  <si>
    <t>09.04 OSIGURANJE KUĆANSTVA</t>
  </si>
  <si>
    <t>09.05 OSIGURANJE GRAĐEVINSKIH OBJEKATA U IZGRADNJI</t>
  </si>
  <si>
    <t>09.06 OSIGURANJE OBJEKATA U MONTAŽI</t>
  </si>
  <si>
    <t>09.07 OSIGURANJE FILMSKE DJELATNOSTI</t>
  </si>
  <si>
    <t>09.08 OSIGURANJE STVARI U RUDARSKIM JAMAMA</t>
  </si>
  <si>
    <t>09.09 OSIGURANJE INFORMATIČKE OPREME</t>
  </si>
  <si>
    <t>09.10 OSIGURANJE ZALIHA U HLADNJAČAMA</t>
  </si>
  <si>
    <t>09.11 OSIGURANJE USJEVA I NASADA</t>
  </si>
  <si>
    <t>09.12 OSIGURANJE ŽIVOTINJA</t>
  </si>
  <si>
    <t>09.99 OSTALA OSIGURANJA IMOVINE</t>
  </si>
  <si>
    <t>09 OSTALA OSIGURANJA IMOVINE</t>
  </si>
  <si>
    <t>ZARAČUNATA BRUTO PPREMIJA I BROJ OSIGURANJA ODABRANIH VRSTA OSIGURANJA / RIZIKA(IMOVINA)                                                                           - Veljača 2015.-</t>
  </si>
  <si>
    <t>BROJ I VRIJEDNOST LIKVIDIRANIH ŠTETA ODABRANIH VRSTA OSIGURANJA / RIZIKA(KASKO) -Veljača 2015.-</t>
  </si>
  <si>
    <t>03.01 KASKO OSIGURANJE CESTOVNIH MOTORNIH VOZILA NA VLASTITI POGON</t>
  </si>
  <si>
    <t>03.02 KASKO OSIGURANJE CESTOVNIH VOZILA BEZ VLASTITOG POGONA</t>
  </si>
  <si>
    <t>03.99 OSTALA KASKO OSIGURANJA CESTOVNIH VOZILA</t>
  </si>
  <si>
    <t>03 OSIGURANJE CESTOVNIH VOZILA - KASKO</t>
  </si>
  <si>
    <t>04.01 KASKO OSIGURANJE TRAČNIH VOZILA</t>
  </si>
  <si>
    <t>04 OSIGURANJE TRAČNIH VOZILA - KASKO</t>
  </si>
  <si>
    <t>05.01 KASKO OSIGURANJE ZRAČNIH LETJELICA</t>
  </si>
  <si>
    <t>05.02 KASKO OSIGURANJE ZRAČNIH PLOVILA</t>
  </si>
  <si>
    <t>05 OSIGURANJE ZRAČNIH LETJELICA - KASKO</t>
  </si>
  <si>
    <t>06.01 KASKO OSIGURANJE BRODOVA I BRODICA U POMORSKOJ PLOVIDBI</t>
  </si>
  <si>
    <t>06.02 KASKO OSIGURANJE BRODOVA I ČAMACA U RIJEČNOJ PLOVIDBI</t>
  </si>
  <si>
    <t>06.03 KASKO OSIGURANJE BRODOVA I ČAMACA U JEZERSKOJ PLOVIDBI</t>
  </si>
  <si>
    <t>06.04 KASKO OSIGURANJE BRODOVA U IZGRADNJI</t>
  </si>
  <si>
    <t>06.05 KASKO OSIGURANJE PLATFORMI</t>
  </si>
  <si>
    <t>06.99 OSTALA KASKO OSIGURANJA PLOVILA</t>
  </si>
  <si>
    <t>06 OSIGURANJE PLOVILA</t>
  </si>
  <si>
    <t>ZARAČUNATA BRUTO PPREMIJA I BROJ OSIGURANJA ODABRANIH VRSTA OSIGURANJA / RIZIKA(KASKO)                                                                            - Veljača 2015.-</t>
  </si>
  <si>
    <t>BROJ I VRIJEDNOST LIKVIDIRANIH ŠTETA ODABRANIH VRSTA OSIGURANJA / RIZIKA (NEZGODA I ZDRAVSTVENO)  -Veljača 2015.-</t>
  </si>
  <si>
    <t>01.01 OSIGURANJE OSOBA OD POSLJEDICA NEZGODE PRI I IZVAN REDOVNOG ZANIMANJA</t>
  </si>
  <si>
    <t>01.02 OSIGURANJE OSOBA OD POSLJEDICA NEZGODE U MOTORNIM VOZILIMA I PRI POSEBNIM DJELATNOSTIMA</t>
  </si>
  <si>
    <t>01.03 OSIGURANJE DJECE I ŠKOLSKE MLADEŽI OD POSLJEDICA NEZGODE I POS. OSIG. MLADEŽI OD POSLJEDICA NEZGODE</t>
  </si>
  <si>
    <t>01.04 OSIGURANJE GOSTIJU, POSJETITELJA PRIREDBI, IZLETNIKA I TURISTA OD POSLJEDICA NEZGODE</t>
  </si>
  <si>
    <t>01.05 OSIGURANJE POTOŠAČA, PRETPLATNIKA, KORISNIKA DRUGIH JAVNIH USLUGA I SL. OD POSLJEDICA NEZGODE</t>
  </si>
  <si>
    <t>01.06 OSTALA POSEBNA OSIGURANJA OD POSLJEDICA NEZGODE</t>
  </si>
  <si>
    <t>01.07 OBVEZNO OSIGURANJE PUTNIKA U JAVNOM PRIJEVOZU OD POSLJEDICA NEZGODE</t>
  </si>
  <si>
    <t>01.99 OSTALA OSIGURANJA OD POSLJEDICA NEZGODE</t>
  </si>
  <si>
    <t>01 OSIGURANJE OD NEZGODE</t>
  </si>
  <si>
    <t>02.01 OBVEZNO OSIG. NAKNADE TROŠKOVA ZA SLUČAJ OZLJEDE NA RADU I PROF. BOL.</t>
  </si>
  <si>
    <t>02.02 DOPUNSKO OSIG. RAZLIKE IZNAD VRIJEDNOSTI ZDRAV. USLUGA OBV. ZDR. OS.</t>
  </si>
  <si>
    <t>02.04 DOP. ZDR. OS. VEĆEGA STANDARDA ZDR. USLUGA OD ODREĐENOG ZAKONOM O ZD.O</t>
  </si>
  <si>
    <t>02.06 PRIVATNO ZDRAVSTVENO OSIGURANJE</t>
  </si>
  <si>
    <t>02.99 OSTALA DRAGOVOLJNA ZDRAVSTVENA OSIGURANJA</t>
  </si>
  <si>
    <t>02 ZDRAVSTVENO OSIGURANJE</t>
  </si>
  <si>
    <t>ZARAČUNATA BRUTO PREMIJA I BROJ OSIGURANJA ODABRANIH VRSTA OSIGURANJA / RIZIKA (NEZGODA I ZDRAVSTVENO) -Veljača 2015.-</t>
  </si>
  <si>
    <t>BROJ I VRIJEDNOST LIKVIDIRANIH ŠTETA OBVEZNIH OSIGURANJA U PROMETU  -Veljača 2015.-</t>
  </si>
  <si>
    <t>ZARAČUNATA BRUTO PREMIJA I BROJ OSIGURANJA OBVEZNIH OSIGURANJA U PROMETU -Veljača 2015.-</t>
  </si>
  <si>
    <t>VRIJEDNOST LIKVIDIRANIH ŠTETA PO VRSTAMA OSIGURANJA - Veljača 2015.-</t>
  </si>
  <si>
    <t>Promjena 15/14</t>
  </si>
  <si>
    <t>25 OSIGURANJE S KAPITALIZACIJOM</t>
  </si>
  <si>
    <t>UKUPNO (neživotna osiguranja, vrste 01 - 18)</t>
  </si>
  <si>
    <t>UKUPNO (životna osiguranja, vrste 19  - 25)</t>
  </si>
  <si>
    <t>SVEUKUPNO (vrste 01 - 25)</t>
  </si>
  <si>
    <t>BROJ LIKVIDIRANIH ŠTETA PO VRSTAMA OSIGURANJA - Veljača 2015.-</t>
  </si>
  <si>
    <t>BROJ OSIGURANJA PO VRSTAMA OSIGURANJA - Veljača 2015.-</t>
  </si>
  <si>
    <t>ZARAČUNATA BRUTO PREMIJA PO VRSTAMA OSIGURANJA - Veljača 2015.-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</si>
</sst>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3" formatCode="_-* #,##0.00\ _k_n_-;\-* #,##0.00\ _k_n_-;_-* &quot;-&quot;??\ _k_n_-;_-@_-"/>
    <numFmt numFmtId="164" formatCode="m\o\n\th\ d\,\ yyyy"/>
    <numFmt numFmtId="165" formatCode="#,#00"/>
    <numFmt numFmtId="166" formatCode="#,"/>
    <numFmt numFmtId="167" formatCode="_-* #,##0\ _k_n_-;\-* #,##0\ _k_n_-;_-* &quot;-&quot;??\ _k_n_-;_-@_-"/>
    <numFmt numFmtId="168" formatCode="_-* #,##0.0\ _k_n_-;\-* #,##0.0\ _k_n_-;_-* &quot;-&quot;??\ _k_n_-;_-@_-"/>
    <numFmt numFmtId="169" formatCode="0_ ;\-0\ "/>
    <numFmt numFmtId="170" formatCode="_-* #,##0.0000\ _k_n_-;\-* #,##0.0000\ _k_n_-;_-* &quot;-&quot;??\ _k_n_-;_-@_-"/>
    <numFmt numFmtId="171" formatCode="#,##0.00_ ;\-#,##0.00\ "/>
    <numFmt numFmtId="172" formatCode="#,##0_ ;\-#,##0\ "/>
    <numFmt numFmtId="173" formatCode="#,##0.0_ ;\-#,##0.0\ "/>
    <numFmt numFmtId="174" formatCode="#,##0.0"/>
    <numFmt numFmtId="175" formatCode="_(* #,##0.00_);_(* \(#,##0.00\);_(* &quot;-&quot;??_);_(@_)"/>
    <numFmt numFmtId="176" formatCode="\+#,##0.00;\-#,##0.00"/>
    <numFmt numFmtId="177" formatCode="\+#,##0.00_ ;\-#,##0.00\ "/>
    <numFmt numFmtId="178" formatCode="\+#,##0_ ;\-#,##0\ 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i/>
      <sz val="9"/>
      <color theme="1" tint="0.34998626667073579"/>
      <name val="Calibri"/>
      <family val="2"/>
      <charset val="238"/>
      <scheme val="minor"/>
    </font>
    <font>
      <b/>
      <i/>
      <sz val="11"/>
      <color theme="1" tint="0.34998626667073579"/>
      <name val="Calibri"/>
      <family val="2"/>
      <charset val="238"/>
      <scheme val="minor"/>
    </font>
    <font>
      <sz val="11"/>
      <color theme="1" tint="0.34998626667073579"/>
      <name val="Calibri"/>
      <family val="2"/>
      <charset val="238"/>
      <scheme val="minor"/>
    </font>
    <font>
      <sz val="10"/>
      <color theme="1" tint="0.34998626667073579"/>
      <name val="Calibri"/>
      <family val="2"/>
      <charset val="238"/>
      <scheme val="minor"/>
    </font>
    <font>
      <sz val="22"/>
      <color theme="0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theme="1" tint="0.34998626667073579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20"/>
      <color theme="0"/>
      <name val="Calibri"/>
      <family val="2"/>
      <charset val="238"/>
      <scheme val="minor"/>
    </font>
    <font>
      <sz val="21"/>
      <color theme="0"/>
      <name val="Calibri"/>
      <family val="2"/>
      <charset val="238"/>
      <scheme val="minor"/>
    </font>
    <font>
      <sz val="24"/>
      <color theme="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 tint="0.34998626667073579"/>
      <name val="Calibri"/>
      <family val="2"/>
      <charset val="238"/>
      <scheme val="minor"/>
    </font>
    <font>
      <sz val="11"/>
      <color theme="1" tint="0.249977111117893"/>
      <name val="Calibri"/>
      <family val="2"/>
      <charset val="238"/>
      <scheme val="minor"/>
    </font>
    <font>
      <sz val="9.5"/>
      <color theme="1" tint="0.249977111117893"/>
      <name val="Calibri"/>
      <family val="2"/>
      <charset val="238"/>
      <scheme val="minor"/>
    </font>
    <font>
      <b/>
      <sz val="9.5"/>
      <color theme="0"/>
      <name val="Calibri"/>
      <family val="2"/>
      <charset val="238"/>
      <scheme val="minor"/>
    </font>
    <font>
      <sz val="9"/>
      <color theme="1" tint="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 tint="0.34998626667073579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.5"/>
      <color theme="1" tint="0.34998626667073579"/>
      <name val="Calibri"/>
      <family val="2"/>
      <charset val="238"/>
      <scheme val="minor"/>
    </font>
    <font>
      <b/>
      <sz val="10"/>
      <color theme="1" tint="0.249977111117893"/>
      <name val="Calibri"/>
      <family val="2"/>
      <charset val="238"/>
      <scheme val="minor"/>
    </font>
    <font>
      <b/>
      <i/>
      <sz val="8.5"/>
      <color theme="1" tint="0.34998626667073579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gradientFill degree="90">
        <stop position="0">
          <color theme="8" tint="-0.49803155613879818"/>
        </stop>
        <stop position="1">
          <color theme="4" tint="0.40000610370189521"/>
        </stop>
      </gradientFill>
    </fill>
    <fill>
      <gradientFill degree="90">
        <stop position="0">
          <color theme="4" tint="0.40000610370189521"/>
        </stop>
        <stop position="1">
          <color theme="0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gradientFill degree="270">
        <stop position="0">
          <color theme="4" tint="0.40000610370189521"/>
        </stop>
        <stop position="1">
          <color theme="4" tint="-0.49803155613879818"/>
        </stop>
      </gradientFill>
    </fill>
    <fill>
      <gradientFill degree="270">
        <stop position="0">
          <color theme="0"/>
        </stop>
        <stop position="1">
          <color theme="4" tint="0.40000610370189521"/>
        </stop>
      </gradient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48">
    <border>
      <left/>
      <right/>
      <top/>
      <bottom/>
      <diagonal/>
    </border>
    <border>
      <left style="medium">
        <color theme="8" tint="-0.499984740745262"/>
      </left>
      <right/>
      <top style="medium">
        <color theme="8" tint="-0.499984740745262"/>
      </top>
      <bottom/>
      <diagonal/>
    </border>
    <border>
      <left/>
      <right/>
      <top style="medium">
        <color theme="8" tint="-0.499984740745262"/>
      </top>
      <bottom/>
      <diagonal/>
    </border>
    <border>
      <left/>
      <right style="medium">
        <color theme="8" tint="-0.499984740745262"/>
      </right>
      <top style="medium">
        <color theme="8" tint="-0.499984740745262"/>
      </top>
      <bottom/>
      <diagonal/>
    </border>
    <border>
      <left style="medium">
        <color theme="8" tint="-0.499984740745262"/>
      </left>
      <right/>
      <top/>
      <bottom/>
      <diagonal/>
    </border>
    <border>
      <left style="medium">
        <color theme="8" tint="-0.499984740745262"/>
      </left>
      <right/>
      <top/>
      <bottom style="medium">
        <color theme="8" tint="-0.499984740745262"/>
      </bottom>
      <diagonal/>
    </border>
    <border>
      <left/>
      <right/>
      <top/>
      <bottom style="medium">
        <color theme="8" tint="-0.499984740745262"/>
      </bottom>
      <diagonal/>
    </border>
    <border>
      <left/>
      <right style="medium">
        <color theme="8" tint="-0.499984740745262"/>
      </right>
      <top/>
      <bottom style="medium">
        <color theme="8" tint="-0.499984740745262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8" tint="-0.499984740745262"/>
      </right>
      <top/>
      <bottom/>
      <diagonal/>
    </border>
    <border>
      <left/>
      <right/>
      <top style="thick">
        <color theme="0" tint="-0.34998626667073579"/>
      </top>
      <bottom style="hair">
        <color theme="0" tint="-0.34998626667073579"/>
      </bottom>
      <diagonal/>
    </border>
    <border>
      <left/>
      <right style="thin">
        <color theme="0" tint="-0.34998626667073579"/>
      </right>
      <top style="thick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 tint="-0.34998626667073579"/>
      </left>
      <right/>
      <top style="medium">
        <color theme="0" tint="-0.34998626667073579"/>
      </top>
      <bottom style="hair">
        <color theme="0" tint="-0.34998626667073579"/>
      </bottom>
      <diagonal/>
    </border>
    <border>
      <left/>
      <right/>
      <top style="medium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</borders>
  <cellStyleXfs count="15">
    <xf numFmtId="0" fontId="0" fillId="0" borderId="0"/>
    <xf numFmtId="0" fontId="1" fillId="0" borderId="0"/>
    <xf numFmtId="164" fontId="2" fillId="0" borderId="0">
      <protection locked="0"/>
    </xf>
    <xf numFmtId="165" fontId="2" fillId="0" borderId="0">
      <protection locked="0"/>
    </xf>
    <xf numFmtId="166" fontId="3" fillId="0" borderId="0">
      <protection locked="0"/>
    </xf>
    <xf numFmtId="166" fontId="3" fillId="0" borderId="0">
      <protection locked="0"/>
    </xf>
    <xf numFmtId="0" fontId="5" fillId="0" borderId="0"/>
    <xf numFmtId="0" fontId="4" fillId="0" borderId="0">
      <alignment vertical="top"/>
    </xf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4" fillId="0" borderId="0">
      <alignment vertical="top"/>
    </xf>
    <xf numFmtId="0" fontId="21" fillId="0" borderId="0" applyNumberFormat="0" applyFill="0" applyBorder="0" applyAlignment="0" applyProtection="0"/>
    <xf numFmtId="175" fontId="6" fillId="0" borderId="0" applyFont="0" applyFill="0" applyBorder="0" applyAlignment="0" applyProtection="0"/>
    <xf numFmtId="166" fontId="2" fillId="0" borderId="44">
      <protection locked="0"/>
    </xf>
  </cellStyleXfs>
  <cellXfs count="37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2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left" vertical="center" wrapText="1"/>
    </xf>
    <xf numFmtId="49" fontId="14" fillId="5" borderId="0" xfId="11" applyNumberFormat="1" applyFont="1" applyFill="1" applyBorder="1" applyAlignment="1">
      <alignment horizontal="center" vertical="center" wrapText="1"/>
    </xf>
    <xf numFmtId="49" fontId="14" fillId="4" borderId="0" xfId="11" applyNumberFormat="1" applyFont="1" applyFill="1" applyBorder="1" applyAlignment="1">
      <alignment horizontal="center" vertical="center" wrapText="1"/>
    </xf>
    <xf numFmtId="49" fontId="13" fillId="4" borderId="0" xfId="11" applyNumberFormat="1" applyFont="1" applyFill="1" applyBorder="1" applyAlignment="1">
      <alignment horizontal="center" vertical="center" wrapText="1"/>
    </xf>
    <xf numFmtId="49" fontId="13" fillId="5" borderId="0" xfId="11" applyNumberFormat="1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 wrapText="1"/>
    </xf>
    <xf numFmtId="43" fontId="11" fillId="0" borderId="14" xfId="10" applyNumberFormat="1" applyFont="1" applyBorder="1" applyAlignment="1">
      <alignment vertical="center"/>
    </xf>
    <xf numFmtId="43" fontId="11" fillId="0" borderId="14" xfId="10" applyFont="1" applyBorder="1" applyAlignment="1">
      <alignment vertical="center"/>
    </xf>
    <xf numFmtId="167" fontId="11" fillId="0" borderId="14" xfId="1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67" fontId="8" fillId="4" borderId="6" xfId="1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5" fillId="7" borderId="15" xfId="0" applyFont="1" applyFill="1" applyBorder="1" applyAlignment="1">
      <alignment horizontal="left" vertical="center" wrapText="1"/>
    </xf>
    <xf numFmtId="168" fontId="8" fillId="0" borderId="12" xfId="10" applyNumberFormat="1" applyFont="1" applyFill="1" applyBorder="1" applyAlignment="1">
      <alignment horizontal="center" vertical="center" wrapText="1"/>
    </xf>
    <xf numFmtId="168" fontId="11" fillId="0" borderId="14" xfId="10" applyNumberFormat="1" applyFont="1" applyBorder="1" applyAlignment="1">
      <alignment horizontal="right" vertical="center"/>
    </xf>
    <xf numFmtId="168" fontId="8" fillId="0" borderId="13" xfId="10" applyNumberFormat="1" applyFont="1" applyFill="1" applyBorder="1" applyAlignment="1">
      <alignment horizontal="center" vertical="center" wrapText="1"/>
    </xf>
    <xf numFmtId="0" fontId="16" fillId="6" borderId="0" xfId="0" applyFont="1" applyFill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43" fontId="11" fillId="0" borderId="19" xfId="10" applyNumberFormat="1" applyFont="1" applyBorder="1" applyAlignment="1">
      <alignment vertical="center"/>
    </xf>
    <xf numFmtId="43" fontId="11" fillId="0" borderId="19" xfId="10" applyFont="1" applyBorder="1" applyAlignment="1">
      <alignment vertical="center"/>
    </xf>
    <xf numFmtId="167" fontId="11" fillId="0" borderId="19" xfId="10" applyNumberFormat="1" applyFont="1" applyBorder="1" applyAlignment="1">
      <alignment horizontal="right" vertical="center"/>
    </xf>
    <xf numFmtId="43" fontId="11" fillId="0" borderId="20" xfId="10" applyFont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43" fontId="15" fillId="0" borderId="0" xfId="10" applyNumberFormat="1" applyFont="1" applyBorder="1" applyAlignment="1">
      <alignment vertical="center"/>
    </xf>
    <xf numFmtId="0" fontId="11" fillId="0" borderId="21" xfId="0" applyFont="1" applyBorder="1" applyAlignment="1">
      <alignment horizontal="left" vertical="center" wrapText="1"/>
    </xf>
    <xf numFmtId="43" fontId="11" fillId="0" borderId="22" xfId="10" applyNumberFormat="1" applyFont="1" applyBorder="1" applyAlignment="1">
      <alignment vertical="center"/>
    </xf>
    <xf numFmtId="167" fontId="11" fillId="0" borderId="22" xfId="10" applyNumberFormat="1" applyFont="1" applyBorder="1" applyAlignment="1">
      <alignment horizontal="right" vertical="center"/>
    </xf>
    <xf numFmtId="167" fontId="11" fillId="0" borderId="23" xfId="10" applyNumberFormat="1" applyFont="1" applyBorder="1" applyAlignment="1">
      <alignment horizontal="left" vertical="center"/>
    </xf>
    <xf numFmtId="167" fontId="11" fillId="0" borderId="18" xfId="10" applyNumberFormat="1" applyFont="1" applyBorder="1" applyAlignment="1">
      <alignment horizontal="left" vertical="center"/>
    </xf>
    <xf numFmtId="167" fontId="11" fillId="0" borderId="21" xfId="10" applyNumberFormat="1" applyFont="1" applyBorder="1" applyAlignment="1">
      <alignment horizontal="left" vertical="center"/>
    </xf>
    <xf numFmtId="168" fontId="11" fillId="0" borderId="25" xfId="10" applyNumberFormat="1" applyFont="1" applyBorder="1" applyAlignment="1">
      <alignment horizontal="right" vertical="center"/>
    </xf>
    <xf numFmtId="0" fontId="10" fillId="0" borderId="0" xfId="0" applyFont="1" applyAlignment="1"/>
    <xf numFmtId="43" fontId="8" fillId="0" borderId="12" xfId="10" applyFont="1" applyFill="1" applyBorder="1" applyAlignment="1">
      <alignment horizontal="center" vertical="center" wrapText="1"/>
    </xf>
    <xf numFmtId="43" fontId="11" fillId="0" borderId="14" xfId="10" applyFont="1" applyBorder="1" applyAlignment="1">
      <alignment horizontal="right" vertical="center"/>
    </xf>
    <xf numFmtId="43" fontId="11" fillId="0" borderId="22" xfId="10" applyFont="1" applyBorder="1" applyAlignment="1">
      <alignment horizontal="right" vertical="center"/>
    </xf>
    <xf numFmtId="170" fontId="8" fillId="0" borderId="12" xfId="10" applyNumberFormat="1" applyFont="1" applyFill="1" applyBorder="1" applyAlignment="1">
      <alignment horizontal="center" vertical="center" wrapText="1"/>
    </xf>
    <xf numFmtId="43" fontId="11" fillId="0" borderId="14" xfId="10" applyNumberFormat="1" applyFont="1" applyBorder="1" applyAlignment="1">
      <alignment horizontal="right" vertical="center"/>
    </xf>
    <xf numFmtId="169" fontId="8" fillId="0" borderId="0" xfId="10" applyNumberFormat="1" applyFont="1" applyFill="1" applyBorder="1" applyAlignment="1">
      <alignment horizontal="center" vertical="center" wrapText="1"/>
    </xf>
    <xf numFmtId="0" fontId="16" fillId="10" borderId="0" xfId="0" applyFont="1" applyFill="1" applyAlignment="1">
      <alignment horizontal="left" vertical="center"/>
    </xf>
    <xf numFmtId="0" fontId="8" fillId="4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68" fontId="10" fillId="0" borderId="0" xfId="10" applyNumberFormat="1" applyFont="1" applyAlignment="1">
      <alignment horizontal="center" vertical="center" wrapText="1"/>
    </xf>
    <xf numFmtId="43" fontId="10" fillId="0" borderId="0" xfId="10" applyFont="1" applyAlignment="1">
      <alignment horizontal="center" vertical="center" wrapText="1"/>
    </xf>
    <xf numFmtId="170" fontId="10" fillId="0" borderId="0" xfId="10" applyNumberFormat="1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7" fontId="10" fillId="0" borderId="0" xfId="10" applyNumberFormat="1" applyFont="1" applyAlignment="1">
      <alignment vertical="center"/>
    </xf>
    <xf numFmtId="168" fontId="10" fillId="0" borderId="0" xfId="10" applyNumberFormat="1" applyFont="1" applyAlignment="1">
      <alignment vertical="center"/>
    </xf>
    <xf numFmtId="167" fontId="0" fillId="0" borderId="0" xfId="10" applyNumberFormat="1" applyFont="1" applyAlignment="1">
      <alignment vertical="center"/>
    </xf>
    <xf numFmtId="168" fontId="0" fillId="0" borderId="0" xfId="10" applyNumberFormat="1" applyFont="1" applyAlignment="1">
      <alignment vertical="center"/>
    </xf>
    <xf numFmtId="0" fontId="11" fillId="3" borderId="0" xfId="0" applyFont="1" applyFill="1" applyAlignment="1">
      <alignment vertical="center"/>
    </xf>
    <xf numFmtId="0" fontId="10" fillId="0" borderId="3" xfId="0" applyFont="1" applyBorder="1" applyAlignment="1">
      <alignment horizontal="center" vertical="center"/>
    </xf>
    <xf numFmtId="43" fontId="23" fillId="0" borderId="35" xfId="10" applyFont="1" applyBorder="1" applyAlignment="1">
      <alignment horizontal="left" vertical="center"/>
    </xf>
    <xf numFmtId="43" fontId="10" fillId="0" borderId="0" xfId="10" applyFont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168" fontId="10" fillId="0" borderId="0" xfId="10" applyNumberFormat="1" applyFont="1" applyAlignment="1">
      <alignment horizontal="left" vertical="center"/>
    </xf>
    <xf numFmtId="170" fontId="10" fillId="0" borderId="0" xfId="10" applyNumberFormat="1" applyFont="1" applyAlignment="1">
      <alignment vertical="center"/>
    </xf>
    <xf numFmtId="43" fontId="11" fillId="0" borderId="0" xfId="10" applyFont="1" applyAlignment="1">
      <alignment horizontal="center" vertical="center" wrapText="1"/>
    </xf>
    <xf numFmtId="170" fontId="11" fillId="0" borderId="0" xfId="1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43" fontId="11" fillId="0" borderId="0" xfId="10" applyFont="1" applyAlignment="1">
      <alignment horizontal="left" vertical="center"/>
    </xf>
    <xf numFmtId="170" fontId="11" fillId="0" borderId="0" xfId="10" applyNumberFormat="1" applyFont="1" applyAlignment="1">
      <alignment horizontal="left" vertical="center"/>
    </xf>
    <xf numFmtId="43" fontId="11" fillId="0" borderId="0" xfId="10" applyFont="1" applyAlignment="1">
      <alignment vertical="center"/>
    </xf>
    <xf numFmtId="43" fontId="10" fillId="0" borderId="0" xfId="10" applyFont="1" applyAlignment="1">
      <alignment horizontal="left" vertical="center"/>
    </xf>
    <xf numFmtId="170" fontId="10" fillId="0" borderId="0" xfId="10" applyNumberFormat="1" applyFont="1" applyAlignment="1">
      <alignment horizontal="left" vertical="center"/>
    </xf>
    <xf numFmtId="168" fontId="11" fillId="0" borderId="0" xfId="10" applyNumberFormat="1" applyFont="1" applyAlignment="1">
      <alignment horizontal="left" vertical="center"/>
    </xf>
    <xf numFmtId="167" fontId="15" fillId="0" borderId="0" xfId="10" applyNumberFormat="1" applyFont="1" applyBorder="1" applyAlignment="1">
      <alignment horizontal="left" vertical="center"/>
    </xf>
    <xf numFmtId="43" fontId="23" fillId="0" borderId="37" xfId="10" applyFont="1" applyBorder="1" applyAlignment="1">
      <alignment horizontal="left" vertical="center"/>
    </xf>
    <xf numFmtId="43" fontId="23" fillId="0" borderId="36" xfId="10" applyFont="1" applyBorder="1" applyAlignment="1">
      <alignment horizontal="left" vertical="center"/>
    </xf>
    <xf numFmtId="0" fontId="16" fillId="10" borderId="38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168" fontId="8" fillId="0" borderId="0" xfId="10" applyNumberFormat="1" applyFont="1" applyFill="1" applyBorder="1" applyAlignment="1">
      <alignment horizontal="center" vertical="center" wrapText="1"/>
    </xf>
    <xf numFmtId="167" fontId="8" fillId="0" borderId="0" xfId="1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67" fontId="24" fillId="0" borderId="0" xfId="1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 wrapText="1"/>
    </xf>
    <xf numFmtId="0" fontId="25" fillId="10" borderId="0" xfId="0" applyFont="1" applyFill="1" applyAlignment="1">
      <alignment horizontal="left" vertical="center" wrapText="1"/>
    </xf>
    <xf numFmtId="0" fontId="26" fillId="0" borderId="30" xfId="0" applyFont="1" applyBorder="1" applyAlignment="1">
      <alignment horizontal="left" vertical="center" wrapText="1"/>
    </xf>
    <xf numFmtId="0" fontId="26" fillId="0" borderId="28" xfId="0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169" fontId="8" fillId="4" borderId="6" xfId="1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34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9" fillId="1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21" fillId="0" borderId="0" xfId="12" applyFont="1" applyAlignment="1">
      <alignment horizontal="center"/>
    </xf>
    <xf numFmtId="0" fontId="15" fillId="11" borderId="15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171" fontId="11" fillId="0" borderId="14" xfId="10" applyNumberFormat="1" applyFont="1" applyBorder="1" applyAlignment="1">
      <alignment vertical="center"/>
    </xf>
    <xf numFmtId="172" fontId="24" fillId="0" borderId="39" xfId="10" applyNumberFormat="1" applyFont="1" applyBorder="1" applyAlignment="1">
      <alignment horizontal="right" vertical="center"/>
    </xf>
    <xf numFmtId="172" fontId="24" fillId="0" borderId="41" xfId="10" applyNumberFormat="1" applyFont="1" applyBorder="1" applyAlignment="1">
      <alignment horizontal="right" vertical="center"/>
    </xf>
    <xf numFmtId="172" fontId="24" fillId="0" borderId="31" xfId="10" applyNumberFormat="1" applyFont="1" applyBorder="1" applyAlignment="1">
      <alignment horizontal="right" vertical="center"/>
    </xf>
    <xf numFmtId="172" fontId="25" fillId="10" borderId="0" xfId="10" applyNumberFormat="1" applyFont="1" applyFill="1" applyAlignment="1">
      <alignment horizontal="right" vertical="center"/>
    </xf>
    <xf numFmtId="172" fontId="24" fillId="0" borderId="40" xfId="10" applyNumberFormat="1" applyFont="1" applyBorder="1" applyAlignment="1">
      <alignment horizontal="right" vertical="center"/>
    </xf>
    <xf numFmtId="171" fontId="24" fillId="0" borderId="40" xfId="10" applyNumberFormat="1" applyFont="1" applyBorder="1" applyAlignment="1">
      <alignment horizontal="right" vertical="center"/>
    </xf>
    <xf numFmtId="171" fontId="24" fillId="0" borderId="30" xfId="10" applyNumberFormat="1" applyFont="1" applyBorder="1" applyAlignment="1">
      <alignment horizontal="right" vertical="center"/>
    </xf>
    <xf numFmtId="171" fontId="24" fillId="0" borderId="31" xfId="10" applyNumberFormat="1" applyFont="1" applyBorder="1" applyAlignment="1">
      <alignment horizontal="right" vertical="center"/>
    </xf>
    <xf numFmtId="171" fontId="24" fillId="0" borderId="28" xfId="10" applyNumberFormat="1" applyFont="1" applyBorder="1" applyAlignment="1">
      <alignment horizontal="right" vertical="center"/>
    </xf>
    <xf numFmtId="171" fontId="24" fillId="0" borderId="0" xfId="10" applyNumberFormat="1" applyFont="1" applyBorder="1" applyAlignment="1">
      <alignment horizontal="right" vertical="center"/>
    </xf>
    <xf numFmtId="171" fontId="25" fillId="10" borderId="0" xfId="10" applyNumberFormat="1" applyFont="1" applyFill="1" applyAlignment="1">
      <alignment horizontal="right" vertical="center"/>
    </xf>
    <xf numFmtId="172" fontId="24" fillId="0" borderId="0" xfId="10" applyNumberFormat="1" applyFont="1" applyBorder="1" applyAlignment="1">
      <alignment horizontal="right" vertical="center"/>
    </xf>
    <xf numFmtId="3" fontId="30" fillId="0" borderId="31" xfId="10" applyNumberFormat="1" applyFont="1" applyBorder="1" applyAlignment="1">
      <alignment vertical="center"/>
    </xf>
    <xf numFmtId="3" fontId="30" fillId="0" borderId="0" xfId="10" applyNumberFormat="1" applyFont="1" applyBorder="1" applyAlignment="1">
      <alignment vertical="center"/>
    </xf>
    <xf numFmtId="3" fontId="25" fillId="10" borderId="0" xfId="10" applyNumberFormat="1" applyFont="1" applyFill="1" applyAlignment="1">
      <alignment vertical="center"/>
    </xf>
    <xf numFmtId="3" fontId="30" fillId="0" borderId="33" xfId="10" applyNumberFormat="1" applyFont="1" applyBorder="1" applyAlignment="1">
      <alignment vertical="center"/>
    </xf>
    <xf numFmtId="171" fontId="30" fillId="0" borderId="33" xfId="10" applyNumberFormat="1" applyFont="1" applyBorder="1" applyAlignment="1">
      <alignment horizontal="right" vertical="center"/>
    </xf>
    <xf numFmtId="171" fontId="30" fillId="0" borderId="34" xfId="10" applyNumberFormat="1" applyFont="1" applyBorder="1" applyAlignment="1">
      <alignment horizontal="right" vertical="center"/>
    </xf>
    <xf numFmtId="171" fontId="30" fillId="0" borderId="31" xfId="10" applyNumberFormat="1" applyFont="1" applyBorder="1" applyAlignment="1">
      <alignment horizontal="right" vertical="center"/>
    </xf>
    <xf numFmtId="171" fontId="30" fillId="0" borderId="28" xfId="10" applyNumberFormat="1" applyFont="1" applyBorder="1" applyAlignment="1">
      <alignment horizontal="right" vertical="center"/>
    </xf>
    <xf numFmtId="171" fontId="30" fillId="0" borderId="0" xfId="10" applyNumberFormat="1" applyFont="1" applyBorder="1" applyAlignment="1">
      <alignment horizontal="right" vertical="center"/>
    </xf>
    <xf numFmtId="171" fontId="30" fillId="0" borderId="33" xfId="0" applyNumberFormat="1" applyFont="1" applyBorder="1" applyAlignment="1">
      <alignment horizontal="right" vertical="center"/>
    </xf>
    <xf numFmtId="171" fontId="30" fillId="0" borderId="31" xfId="0" applyNumberFormat="1" applyFont="1" applyBorder="1" applyAlignment="1">
      <alignment horizontal="right" vertical="center"/>
    </xf>
    <xf numFmtId="171" fontId="30" fillId="0" borderId="0" xfId="0" applyNumberFormat="1" applyFont="1" applyBorder="1" applyAlignment="1">
      <alignment horizontal="right" vertical="center"/>
    </xf>
    <xf numFmtId="171" fontId="25" fillId="10" borderId="0" xfId="0" applyNumberFormat="1" applyFont="1" applyFill="1" applyAlignment="1">
      <alignment horizontal="right" vertical="center"/>
    </xf>
    <xf numFmtId="172" fontId="10" fillId="0" borderId="35" xfId="10" applyNumberFormat="1" applyFont="1" applyBorder="1" applyAlignment="1">
      <alignment vertical="center"/>
    </xf>
    <xf numFmtId="3" fontId="10" fillId="0" borderId="35" xfId="10" applyNumberFormat="1" applyFont="1" applyBorder="1" applyAlignment="1">
      <alignment vertical="center"/>
    </xf>
    <xf numFmtId="3" fontId="10" fillId="0" borderId="37" xfId="10" applyNumberFormat="1" applyFont="1" applyBorder="1" applyAlignment="1">
      <alignment vertical="center"/>
    </xf>
    <xf numFmtId="3" fontId="10" fillId="0" borderId="36" xfId="10" applyNumberFormat="1" applyFont="1" applyBorder="1" applyAlignment="1">
      <alignment vertical="center"/>
    </xf>
    <xf numFmtId="3" fontId="10" fillId="0" borderId="35" xfId="10" applyNumberFormat="1" applyFont="1" applyBorder="1" applyAlignment="1">
      <alignment horizontal="right" vertical="center"/>
    </xf>
    <xf numFmtId="3" fontId="10" fillId="0" borderId="37" xfId="10" applyNumberFormat="1" applyFont="1" applyBorder="1" applyAlignment="1">
      <alignment horizontal="right" vertical="center"/>
    </xf>
    <xf numFmtId="3" fontId="10" fillId="0" borderId="36" xfId="10" applyNumberFormat="1" applyFont="1" applyBorder="1" applyAlignment="1">
      <alignment horizontal="right" vertical="center"/>
    </xf>
    <xf numFmtId="3" fontId="16" fillId="10" borderId="0" xfId="10" applyNumberFormat="1" applyFont="1" applyFill="1" applyAlignment="1">
      <alignment horizontal="right" vertical="center"/>
    </xf>
    <xf numFmtId="3" fontId="16" fillId="10" borderId="38" xfId="10" applyNumberFormat="1" applyFont="1" applyFill="1" applyBorder="1" applyAlignment="1">
      <alignment horizontal="right" vertical="center"/>
    </xf>
    <xf numFmtId="171" fontId="10" fillId="0" borderId="35" xfId="10" applyNumberFormat="1" applyFont="1" applyBorder="1" applyAlignment="1">
      <alignment vertical="center"/>
    </xf>
    <xf numFmtId="171" fontId="10" fillId="0" borderId="37" xfId="10" applyNumberFormat="1" applyFont="1" applyBorder="1" applyAlignment="1">
      <alignment vertical="center"/>
    </xf>
    <xf numFmtId="171" fontId="10" fillId="0" borderId="36" xfId="10" applyNumberFormat="1" applyFont="1" applyBorder="1" applyAlignment="1">
      <alignment vertical="center"/>
    </xf>
    <xf numFmtId="171" fontId="10" fillId="0" borderId="35" xfId="10" applyNumberFormat="1" applyFont="1" applyBorder="1" applyAlignment="1">
      <alignment horizontal="right" vertical="center"/>
    </xf>
    <xf numFmtId="171" fontId="10" fillId="0" borderId="37" xfId="10" applyNumberFormat="1" applyFont="1" applyBorder="1" applyAlignment="1">
      <alignment horizontal="right" vertical="center"/>
    </xf>
    <xf numFmtId="171" fontId="10" fillId="0" borderId="36" xfId="10" applyNumberFormat="1" applyFont="1" applyBorder="1" applyAlignment="1">
      <alignment horizontal="right" vertical="center"/>
    </xf>
    <xf numFmtId="171" fontId="16" fillId="10" borderId="0" xfId="10" applyNumberFormat="1" applyFont="1" applyFill="1" applyAlignment="1">
      <alignment horizontal="right" vertical="center"/>
    </xf>
    <xf numFmtId="171" fontId="16" fillId="10" borderId="38" xfId="10" applyNumberFormat="1" applyFont="1" applyFill="1" applyBorder="1" applyAlignment="1">
      <alignment horizontal="right" vertical="center"/>
    </xf>
    <xf numFmtId="172" fontId="10" fillId="0" borderId="35" xfId="10" applyNumberFormat="1" applyFont="1" applyBorder="1" applyAlignment="1">
      <alignment horizontal="right" vertical="center"/>
    </xf>
    <xf numFmtId="172" fontId="16" fillId="10" borderId="0" xfId="10" applyNumberFormat="1" applyFont="1" applyFill="1" applyAlignment="1">
      <alignment horizontal="right" vertical="center"/>
    </xf>
    <xf numFmtId="172" fontId="16" fillId="10" borderId="38" xfId="10" applyNumberFormat="1" applyFont="1" applyFill="1" applyBorder="1" applyAlignment="1">
      <alignment horizontal="right" vertical="center"/>
    </xf>
    <xf numFmtId="172" fontId="10" fillId="0" borderId="43" xfId="10" applyNumberFormat="1" applyFont="1" applyBorder="1" applyAlignment="1">
      <alignment horizontal="right" vertical="center"/>
    </xf>
    <xf numFmtId="172" fontId="10" fillId="0" borderId="42" xfId="10" applyNumberFormat="1" applyFont="1" applyBorder="1" applyAlignment="1">
      <alignment horizontal="right" vertical="center"/>
    </xf>
    <xf numFmtId="1" fontId="10" fillId="0" borderId="35" xfId="10" applyNumberFormat="1" applyFont="1" applyBorder="1" applyAlignment="1">
      <alignment horizontal="right" vertical="center"/>
    </xf>
    <xf numFmtId="172" fontId="10" fillId="0" borderId="37" xfId="10" applyNumberFormat="1" applyFont="1" applyBorder="1" applyAlignment="1">
      <alignment horizontal="right" vertical="center"/>
    </xf>
    <xf numFmtId="172" fontId="10" fillId="0" borderId="36" xfId="10" applyNumberFormat="1" applyFont="1" applyBorder="1" applyAlignment="1">
      <alignment horizontal="right" vertical="center"/>
    </xf>
    <xf numFmtId="172" fontId="10" fillId="0" borderId="14" xfId="10" applyNumberFormat="1" applyFont="1" applyBorder="1" applyAlignment="1">
      <alignment horizontal="right" vertical="center"/>
    </xf>
    <xf numFmtId="172" fontId="10" fillId="0" borderId="0" xfId="10" applyNumberFormat="1" applyFont="1" applyAlignment="1">
      <alignment horizontal="right" vertical="center"/>
    </xf>
    <xf numFmtId="171" fontId="10" fillId="0" borderId="14" xfId="10" applyNumberFormat="1" applyFont="1" applyBorder="1" applyAlignment="1">
      <alignment horizontal="right" vertical="center"/>
    </xf>
    <xf numFmtId="171" fontId="10" fillId="0" borderId="14" xfId="10" applyNumberFormat="1" applyFont="1" applyBorder="1" applyAlignment="1">
      <alignment vertical="center"/>
    </xf>
    <xf numFmtId="173" fontId="10" fillId="0" borderId="14" xfId="0" applyNumberFormat="1" applyFont="1" applyBorder="1" applyAlignment="1">
      <alignment horizontal="right" vertical="center"/>
    </xf>
    <xf numFmtId="173" fontId="10" fillId="0" borderId="0" xfId="0" applyNumberFormat="1" applyFont="1" applyAlignment="1">
      <alignment horizontal="right" vertical="center"/>
    </xf>
    <xf numFmtId="173" fontId="10" fillId="0" borderId="14" xfId="0" applyNumberFormat="1" applyFont="1" applyBorder="1" applyAlignment="1">
      <alignment vertical="center"/>
    </xf>
    <xf numFmtId="173" fontId="10" fillId="0" borderId="0" xfId="0" applyNumberFormat="1" applyFont="1" applyAlignment="1">
      <alignment vertical="center"/>
    </xf>
    <xf numFmtId="3" fontId="11" fillId="0" borderId="14" xfId="1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 wrapText="1"/>
    </xf>
    <xf numFmtId="173" fontId="11" fillId="0" borderId="14" xfId="10" applyNumberFormat="1" applyFont="1" applyBorder="1" applyAlignment="1">
      <alignment horizontal="right" vertical="center"/>
    </xf>
    <xf numFmtId="173" fontId="11" fillId="0" borderId="14" xfId="10" applyNumberFormat="1" applyFont="1" applyBorder="1" applyAlignment="1">
      <alignment vertical="center"/>
    </xf>
    <xf numFmtId="173" fontId="11" fillId="0" borderId="0" xfId="10" applyNumberFormat="1" applyFont="1" applyAlignment="1">
      <alignment vertical="center" wrapText="1"/>
    </xf>
    <xf numFmtId="3" fontId="10" fillId="0" borderId="0" xfId="0" applyNumberFormat="1" applyFont="1" applyAlignment="1">
      <alignment horizontal="right" vertical="center" wrapText="1"/>
    </xf>
    <xf numFmtId="173" fontId="11" fillId="0" borderId="14" xfId="0" applyNumberFormat="1" applyFont="1" applyBorder="1" applyAlignment="1">
      <alignment horizontal="right" vertical="center"/>
    </xf>
    <xf numFmtId="173" fontId="11" fillId="0" borderId="0" xfId="0" applyNumberFormat="1" applyFont="1" applyAlignment="1">
      <alignment horizontal="right" vertical="center" wrapText="1"/>
    </xf>
    <xf numFmtId="171" fontId="11" fillId="0" borderId="14" xfId="10" applyNumberFormat="1" applyFont="1" applyBorder="1" applyAlignment="1">
      <alignment horizontal="right" vertical="center"/>
    </xf>
    <xf numFmtId="4" fontId="11" fillId="0" borderId="14" xfId="10" applyNumberFormat="1" applyFont="1" applyBorder="1" applyAlignment="1">
      <alignment vertical="center"/>
    </xf>
    <xf numFmtId="3" fontId="15" fillId="7" borderId="16" xfId="10" applyNumberFormat="1" applyFont="1" applyFill="1" applyBorder="1" applyAlignment="1">
      <alignment horizontal="right" vertical="center"/>
    </xf>
    <xf numFmtId="3" fontId="11" fillId="0" borderId="0" xfId="0" applyNumberFormat="1" applyFont="1" applyAlignment="1">
      <alignment horizontal="center" vertical="center" wrapText="1"/>
    </xf>
    <xf numFmtId="3" fontId="11" fillId="0" borderId="14" xfId="10" applyNumberFormat="1" applyFont="1" applyBorder="1" applyAlignment="1">
      <alignment vertical="center"/>
    </xf>
    <xf numFmtId="171" fontId="15" fillId="7" borderId="16" xfId="10" applyNumberFormat="1" applyFont="1" applyFill="1" applyBorder="1" applyAlignment="1">
      <alignment vertical="center"/>
    </xf>
    <xf numFmtId="171" fontId="15" fillId="7" borderId="16" xfId="10" applyNumberFormat="1" applyFont="1" applyFill="1" applyBorder="1" applyAlignment="1">
      <alignment horizontal="right" vertical="center"/>
    </xf>
    <xf numFmtId="4" fontId="11" fillId="0" borderId="0" xfId="0" applyNumberFormat="1" applyFont="1" applyAlignment="1">
      <alignment horizontal="center" vertical="center" wrapText="1"/>
    </xf>
    <xf numFmtId="172" fontId="11" fillId="0" borderId="14" xfId="10" applyNumberFormat="1" applyFont="1" applyBorder="1" applyAlignment="1">
      <alignment vertical="center"/>
    </xf>
    <xf numFmtId="172" fontId="11" fillId="0" borderId="14" xfId="10" applyNumberFormat="1" applyFont="1" applyBorder="1" applyAlignment="1">
      <alignment horizontal="right" vertical="center"/>
    </xf>
    <xf numFmtId="172" fontId="15" fillId="11" borderId="16" xfId="10" applyNumberFormat="1" applyFont="1" applyFill="1" applyBorder="1" applyAlignment="1">
      <alignment vertical="center"/>
    </xf>
    <xf numFmtId="172" fontId="15" fillId="11" borderId="16" xfId="10" applyNumberFormat="1" applyFont="1" applyFill="1" applyBorder="1" applyAlignment="1">
      <alignment horizontal="right" vertical="center"/>
    </xf>
    <xf numFmtId="172" fontId="16" fillId="6" borderId="0" xfId="10" applyNumberFormat="1" applyFont="1" applyFill="1" applyAlignment="1">
      <alignment vertical="center"/>
    </xf>
    <xf numFmtId="172" fontId="16" fillId="6" borderId="0" xfId="10" applyNumberFormat="1" applyFont="1" applyFill="1" applyAlignment="1">
      <alignment horizontal="right" vertical="center"/>
    </xf>
    <xf numFmtId="3" fontId="15" fillId="11" borderId="16" xfId="10" applyNumberFormat="1" applyFont="1" applyFill="1" applyBorder="1" applyAlignment="1">
      <alignment vertical="center"/>
    </xf>
    <xf numFmtId="3" fontId="15" fillId="11" borderId="16" xfId="10" applyNumberFormat="1" applyFont="1" applyFill="1" applyBorder="1" applyAlignment="1">
      <alignment horizontal="right" vertical="center"/>
    </xf>
    <xf numFmtId="3" fontId="15" fillId="0" borderId="0" xfId="10" applyNumberFormat="1" applyFont="1" applyBorder="1" applyAlignment="1">
      <alignment vertical="center"/>
    </xf>
    <xf numFmtId="3" fontId="11" fillId="0" borderId="22" xfId="10" applyNumberFormat="1" applyFont="1" applyBorder="1" applyAlignment="1">
      <alignment vertical="center"/>
    </xf>
    <xf numFmtId="3" fontId="10" fillId="0" borderId="0" xfId="0" applyNumberFormat="1" applyFont="1" applyAlignment="1">
      <alignment vertical="center" wrapText="1"/>
    </xf>
    <xf numFmtId="3" fontId="16" fillId="6" borderId="0" xfId="10" applyNumberFormat="1" applyFont="1" applyFill="1" applyAlignment="1">
      <alignment vertical="center"/>
    </xf>
    <xf numFmtId="171" fontId="15" fillId="11" borderId="16" xfId="10" applyNumberFormat="1" applyFont="1" applyFill="1" applyBorder="1" applyAlignment="1">
      <alignment vertical="center"/>
    </xf>
    <xf numFmtId="171" fontId="15" fillId="11" borderId="16" xfId="10" applyNumberFormat="1" applyFont="1" applyFill="1" applyBorder="1" applyAlignment="1">
      <alignment horizontal="right" vertical="center"/>
    </xf>
    <xf numFmtId="4" fontId="15" fillId="11" borderId="16" xfId="10" applyNumberFormat="1" applyFont="1" applyFill="1" applyBorder="1" applyAlignment="1">
      <alignment vertical="center"/>
    </xf>
    <xf numFmtId="4" fontId="15" fillId="0" borderId="0" xfId="10" applyNumberFormat="1" applyFont="1" applyBorder="1" applyAlignment="1">
      <alignment vertical="center"/>
    </xf>
    <xf numFmtId="4" fontId="11" fillId="0" borderId="22" xfId="10" applyNumberFormat="1" applyFont="1" applyBorder="1" applyAlignment="1">
      <alignment vertical="center"/>
    </xf>
    <xf numFmtId="4" fontId="10" fillId="0" borderId="0" xfId="0" applyNumberFormat="1" applyFont="1" applyAlignment="1">
      <alignment vertical="center" wrapText="1"/>
    </xf>
    <xf numFmtId="171" fontId="11" fillId="0" borderId="19" xfId="10" applyNumberFormat="1" applyFont="1" applyBorder="1" applyAlignment="1">
      <alignment horizontal="right" vertical="center"/>
    </xf>
    <xf numFmtId="4" fontId="11" fillId="0" borderId="20" xfId="10" applyNumberFormat="1" applyFont="1" applyBorder="1" applyAlignment="1">
      <alignment vertical="center"/>
    </xf>
    <xf numFmtId="4" fontId="16" fillId="6" borderId="0" xfId="10" applyNumberFormat="1" applyFont="1" applyFill="1" applyAlignment="1">
      <alignment vertical="center"/>
    </xf>
    <xf numFmtId="174" fontId="11" fillId="0" borderId="26" xfId="10" applyNumberFormat="1" applyFont="1" applyBorder="1" applyAlignment="1">
      <alignment horizontal="right" vertical="center"/>
    </xf>
    <xf numFmtId="174" fontId="11" fillId="0" borderId="27" xfId="10" applyNumberFormat="1" applyFont="1" applyBorder="1" applyAlignment="1">
      <alignment horizontal="right" vertical="center"/>
    </xf>
    <xf numFmtId="174" fontId="11" fillId="0" borderId="0" xfId="10" applyNumberFormat="1" applyFont="1" applyBorder="1" applyAlignment="1">
      <alignment horizontal="right" vertical="center"/>
    </xf>
    <xf numFmtId="172" fontId="11" fillId="0" borderId="23" xfId="10" applyNumberFormat="1" applyFont="1" applyBorder="1" applyAlignment="1">
      <alignment horizontal="right" vertical="center"/>
    </xf>
    <xf numFmtId="172" fontId="15" fillId="11" borderId="24" xfId="10" applyNumberFormat="1" applyFont="1" applyFill="1" applyBorder="1" applyAlignment="1">
      <alignment horizontal="right" vertical="center"/>
    </xf>
    <xf numFmtId="2" fontId="11" fillId="0" borderId="14" xfId="10" applyNumberFormat="1" applyFont="1" applyBorder="1" applyAlignment="1">
      <alignment vertical="center"/>
    </xf>
    <xf numFmtId="4" fontId="15" fillId="11" borderId="16" xfId="10" applyNumberFormat="1" applyFont="1" applyFill="1" applyBorder="1" applyAlignment="1">
      <alignment horizontal="right" vertical="center"/>
    </xf>
    <xf numFmtId="4" fontId="15" fillId="0" borderId="0" xfId="10" applyNumberFormat="1" applyFont="1" applyBorder="1" applyAlignment="1">
      <alignment horizontal="right" vertical="center"/>
    </xf>
    <xf numFmtId="4" fontId="11" fillId="0" borderId="14" xfId="10" applyNumberFormat="1" applyFont="1" applyBorder="1" applyAlignment="1">
      <alignment horizontal="right" vertical="center"/>
    </xf>
    <xf numFmtId="4" fontId="11" fillId="0" borderId="22" xfId="10" applyNumberFormat="1" applyFont="1" applyBorder="1" applyAlignment="1">
      <alignment horizontal="right" vertical="center"/>
    </xf>
    <xf numFmtId="4" fontId="11" fillId="0" borderId="20" xfId="10" applyNumberFormat="1" applyFont="1" applyBorder="1" applyAlignment="1">
      <alignment horizontal="right" vertical="center"/>
    </xf>
    <xf numFmtId="4" fontId="10" fillId="0" borderId="0" xfId="0" applyNumberFormat="1" applyFont="1" applyAlignment="1">
      <alignment horizontal="right" vertical="center" wrapText="1"/>
    </xf>
    <xf numFmtId="4" fontId="11" fillId="0" borderId="0" xfId="0" applyNumberFormat="1" applyFont="1" applyAlignment="1">
      <alignment horizontal="right" vertical="center" wrapText="1"/>
    </xf>
    <xf numFmtId="173" fontId="11" fillId="0" borderId="22" xfId="10" applyNumberFormat="1" applyFont="1" applyBorder="1" applyAlignment="1">
      <alignment horizontal="right" vertical="center"/>
    </xf>
    <xf numFmtId="173" fontId="11" fillId="0" borderId="22" xfId="10" applyNumberFormat="1" applyFont="1" applyBorder="1" applyAlignment="1">
      <alignment vertical="center"/>
    </xf>
    <xf numFmtId="173" fontId="11" fillId="0" borderId="20" xfId="10" applyNumberFormat="1" applyFont="1" applyBorder="1" applyAlignment="1">
      <alignment vertical="center"/>
    </xf>
    <xf numFmtId="3" fontId="11" fillId="0" borderId="19" xfId="10" applyNumberFormat="1" applyFont="1" applyBorder="1" applyAlignment="1">
      <alignment vertical="center"/>
    </xf>
    <xf numFmtId="173" fontId="11" fillId="0" borderId="25" xfId="10" applyNumberFormat="1" applyFont="1" applyBorder="1" applyAlignment="1">
      <alignment horizontal="right" vertical="center"/>
    </xf>
    <xf numFmtId="3" fontId="11" fillId="0" borderId="23" xfId="10" applyNumberFormat="1" applyFont="1" applyBorder="1" applyAlignment="1">
      <alignment horizontal="right" vertical="center"/>
    </xf>
    <xf numFmtId="3" fontId="15" fillId="11" borderId="24" xfId="10" applyNumberFormat="1" applyFont="1" applyFill="1" applyBorder="1" applyAlignment="1">
      <alignment horizontal="right" vertical="center"/>
    </xf>
    <xf numFmtId="3" fontId="11" fillId="0" borderId="18" xfId="10" applyNumberFormat="1" applyFont="1" applyBorder="1" applyAlignment="1">
      <alignment horizontal="right" vertical="center"/>
    </xf>
    <xf numFmtId="3" fontId="15" fillId="0" borderId="0" xfId="10" applyNumberFormat="1" applyFont="1" applyBorder="1" applyAlignment="1">
      <alignment horizontal="right" vertical="center"/>
    </xf>
    <xf numFmtId="3" fontId="11" fillId="0" borderId="21" xfId="1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vertical="center" wrapText="1"/>
    </xf>
    <xf numFmtId="174" fontId="11" fillId="0" borderId="20" xfId="10" applyNumberFormat="1" applyFont="1" applyBorder="1" applyAlignment="1">
      <alignment horizontal="right" vertical="center"/>
    </xf>
    <xf numFmtId="174" fontId="11" fillId="0" borderId="14" xfId="10" applyNumberFormat="1" applyFont="1" applyBorder="1" applyAlignment="1">
      <alignment horizontal="right" vertical="center"/>
    </xf>
    <xf numFmtId="4" fontId="11" fillId="0" borderId="19" xfId="10" applyNumberFormat="1" applyFont="1" applyBorder="1" applyAlignment="1">
      <alignment horizontal="right" vertical="center"/>
    </xf>
    <xf numFmtId="173" fontId="11" fillId="0" borderId="27" xfId="10" applyNumberFormat="1" applyFont="1" applyBorder="1" applyAlignment="1">
      <alignment horizontal="right" vertical="center"/>
    </xf>
    <xf numFmtId="172" fontId="11" fillId="0" borderId="22" xfId="10" applyNumberFormat="1" applyFont="1" applyBorder="1" applyAlignment="1">
      <alignment horizontal="right" vertical="center"/>
    </xf>
    <xf numFmtId="4" fontId="11" fillId="0" borderId="19" xfId="10" applyNumberFormat="1" applyFont="1" applyBorder="1" applyAlignment="1">
      <alignment vertical="center"/>
    </xf>
    <xf numFmtId="3" fontId="11" fillId="0" borderId="23" xfId="10" applyNumberFormat="1" applyFont="1" applyBorder="1" applyAlignment="1">
      <alignment vertical="center"/>
    </xf>
    <xf numFmtId="0" fontId="16" fillId="12" borderId="0" xfId="0" applyFont="1" applyFill="1" applyAlignment="1">
      <alignment horizontal="left" vertical="center" wrapText="1"/>
    </xf>
    <xf numFmtId="172" fontId="24" fillId="0" borderId="45" xfId="10" applyNumberFormat="1" applyFont="1" applyBorder="1" applyAlignment="1">
      <alignment horizontal="right" vertical="center"/>
    </xf>
    <xf numFmtId="172" fontId="24" fillId="0" borderId="46" xfId="10" applyNumberFormat="1" applyFont="1" applyBorder="1" applyAlignment="1">
      <alignment horizontal="right" vertical="center"/>
    </xf>
    <xf numFmtId="171" fontId="24" fillId="0" borderId="46" xfId="10" applyNumberFormat="1" applyFont="1" applyBorder="1" applyAlignment="1">
      <alignment horizontal="right" vertical="center"/>
    </xf>
    <xf numFmtId="171" fontId="24" fillId="0" borderId="47" xfId="10" applyNumberFormat="1" applyFont="1" applyBorder="1" applyAlignment="1">
      <alignment horizontal="right" vertical="center"/>
    </xf>
    <xf numFmtId="3" fontId="30" fillId="0" borderId="45" xfId="10" applyNumberFormat="1" applyFont="1" applyBorder="1" applyAlignment="1">
      <alignment vertical="center"/>
    </xf>
    <xf numFmtId="3" fontId="30" fillId="0" borderId="46" xfId="10" applyNumberFormat="1" applyFont="1" applyBorder="1" applyAlignment="1">
      <alignment vertical="center"/>
    </xf>
    <xf numFmtId="171" fontId="30" fillId="0" borderId="46" xfId="10" applyNumberFormat="1" applyFont="1" applyBorder="1" applyAlignment="1">
      <alignment horizontal="right" vertical="center"/>
    </xf>
    <xf numFmtId="171" fontId="30" fillId="0" borderId="47" xfId="10" applyNumberFormat="1" applyFont="1" applyBorder="1" applyAlignment="1">
      <alignment horizontal="right" vertical="center"/>
    </xf>
    <xf numFmtId="171" fontId="30" fillId="0" borderId="46" xfId="0" applyNumberFormat="1" applyFont="1" applyBorder="1" applyAlignment="1">
      <alignment horizontal="right" vertical="center"/>
    </xf>
    <xf numFmtId="0" fontId="27" fillId="0" borderId="47" xfId="0" applyFont="1" applyBorder="1" applyAlignment="1">
      <alignment horizontal="left" vertical="center" wrapText="1"/>
    </xf>
    <xf numFmtId="0" fontId="3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171" fontId="10" fillId="4" borderId="35" xfId="10" applyNumberFormat="1" applyFont="1" applyFill="1" applyBorder="1" applyAlignment="1">
      <alignment horizontal="right" vertical="center"/>
    </xf>
    <xf numFmtId="171" fontId="10" fillId="4" borderId="37" xfId="10" applyNumberFormat="1" applyFont="1" applyFill="1" applyBorder="1" applyAlignment="1">
      <alignment horizontal="right" vertical="center"/>
    </xf>
    <xf numFmtId="171" fontId="10" fillId="4" borderId="36" xfId="10" applyNumberFormat="1" applyFont="1" applyFill="1" applyBorder="1" applyAlignment="1">
      <alignment horizontal="right" vertical="center"/>
    </xf>
    <xf numFmtId="172" fontId="10" fillId="4" borderId="35" xfId="10" applyNumberFormat="1" applyFont="1" applyFill="1" applyBorder="1" applyAlignment="1">
      <alignment horizontal="right" vertical="center"/>
    </xf>
    <xf numFmtId="172" fontId="10" fillId="4" borderId="37" xfId="10" applyNumberFormat="1" applyFont="1" applyFill="1" applyBorder="1" applyAlignment="1">
      <alignment horizontal="right" vertical="center"/>
    </xf>
    <xf numFmtId="172" fontId="10" fillId="4" borderId="36" xfId="10" applyNumberFormat="1" applyFont="1" applyFill="1" applyBorder="1" applyAlignment="1">
      <alignment horizontal="right" vertical="center"/>
    </xf>
    <xf numFmtId="0" fontId="7" fillId="12" borderId="0" xfId="0" applyFont="1" applyFill="1" applyAlignment="1">
      <alignment horizontal="left" vertical="center"/>
    </xf>
    <xf numFmtId="172" fontId="7" fillId="12" borderId="0" xfId="10" applyNumberFormat="1" applyFont="1" applyFill="1" applyAlignment="1">
      <alignment horizontal="right" vertical="center"/>
    </xf>
    <xf numFmtId="171" fontId="7" fillId="12" borderId="14" xfId="10" applyNumberFormat="1" applyFont="1" applyFill="1" applyBorder="1" applyAlignment="1">
      <alignment horizontal="right" vertical="center"/>
    </xf>
    <xf numFmtId="171" fontId="7" fillId="12" borderId="14" xfId="10" applyNumberFormat="1" applyFont="1" applyFill="1" applyBorder="1" applyAlignment="1">
      <alignment vertical="center"/>
    </xf>
    <xf numFmtId="173" fontId="7" fillId="12" borderId="0" xfId="0" applyNumberFormat="1" applyFont="1" applyFill="1" applyAlignment="1">
      <alignment vertical="center"/>
    </xf>
    <xf numFmtId="173" fontId="7" fillId="12" borderId="0" xfId="0" applyNumberFormat="1" applyFont="1" applyFill="1" applyAlignment="1">
      <alignment horizontal="right" vertical="center"/>
    </xf>
    <xf numFmtId="0" fontId="16" fillId="12" borderId="15" xfId="0" applyFont="1" applyFill="1" applyBorder="1" applyAlignment="1">
      <alignment horizontal="left" vertical="center" wrapText="1"/>
    </xf>
    <xf numFmtId="3" fontId="16" fillId="12" borderId="16" xfId="10" applyNumberFormat="1" applyFont="1" applyFill="1" applyBorder="1" applyAlignment="1">
      <alignment horizontal="right" vertical="center"/>
    </xf>
    <xf numFmtId="173" fontId="16" fillId="12" borderId="16" xfId="10" applyNumberFormat="1" applyFont="1" applyFill="1" applyBorder="1" applyAlignment="1">
      <alignment vertical="center"/>
    </xf>
    <xf numFmtId="173" fontId="16" fillId="12" borderId="17" xfId="0" applyNumberFormat="1" applyFont="1" applyFill="1" applyBorder="1" applyAlignment="1">
      <alignment horizontal="right" vertical="center"/>
    </xf>
    <xf numFmtId="0" fontId="16" fillId="12" borderId="0" xfId="0" applyFont="1" applyFill="1" applyAlignment="1">
      <alignment horizontal="left" vertical="center"/>
    </xf>
    <xf numFmtId="3" fontId="16" fillId="12" borderId="0" xfId="10" applyNumberFormat="1" applyFont="1" applyFill="1" applyAlignment="1">
      <alignment horizontal="right" vertical="center"/>
    </xf>
    <xf numFmtId="43" fontId="16" fillId="12" borderId="0" xfId="10" applyFont="1" applyFill="1" applyAlignment="1">
      <alignment horizontal="right" vertical="center"/>
    </xf>
    <xf numFmtId="172" fontId="16" fillId="12" borderId="0" xfId="10" applyNumberFormat="1" applyFont="1" applyFill="1" applyAlignment="1">
      <alignment horizontal="right" vertical="center"/>
    </xf>
    <xf numFmtId="170" fontId="16" fillId="12" borderId="0" xfId="10" applyNumberFormat="1" applyFont="1" applyFill="1" applyAlignment="1">
      <alignment horizontal="right" vertical="center"/>
    </xf>
    <xf numFmtId="172" fontId="16" fillId="12" borderId="0" xfId="10" applyNumberFormat="1" applyFont="1" applyFill="1" applyAlignment="1">
      <alignment vertical="center"/>
    </xf>
    <xf numFmtId="2" fontId="11" fillId="0" borderId="14" xfId="0" applyNumberFormat="1" applyFont="1" applyBorder="1" applyAlignment="1">
      <alignment horizontal="right" vertical="center"/>
    </xf>
    <xf numFmtId="2" fontId="11" fillId="0" borderId="0" xfId="0" applyNumberFormat="1" applyFont="1" applyAlignment="1">
      <alignment horizontal="center" vertical="center" wrapText="1"/>
    </xf>
    <xf numFmtId="2" fontId="15" fillId="7" borderId="17" xfId="0" applyNumberFormat="1" applyFont="1" applyFill="1" applyBorder="1" applyAlignment="1">
      <alignment horizontal="right" vertical="center"/>
    </xf>
    <xf numFmtId="2" fontId="11" fillId="0" borderId="0" xfId="0" applyNumberFormat="1" applyFont="1" applyAlignment="1">
      <alignment horizontal="right" vertical="center" wrapText="1"/>
    </xf>
    <xf numFmtId="2" fontId="16" fillId="12" borderId="0" xfId="0" applyNumberFormat="1" applyFont="1" applyFill="1" applyAlignment="1">
      <alignment horizontal="right" vertical="center"/>
    </xf>
    <xf numFmtId="4" fontId="11" fillId="0" borderId="14" xfId="0" applyNumberFormat="1" applyFont="1" applyBorder="1" applyAlignment="1">
      <alignment vertical="center"/>
    </xf>
    <xf numFmtId="4" fontId="15" fillId="7" borderId="16" xfId="0" applyNumberFormat="1" applyFont="1" applyFill="1" applyBorder="1" applyAlignment="1">
      <alignment horizontal="right" vertical="center"/>
    </xf>
    <xf numFmtId="4" fontId="11" fillId="0" borderId="14" xfId="0" applyNumberFormat="1" applyFont="1" applyBorder="1" applyAlignment="1">
      <alignment horizontal="right" vertical="center"/>
    </xf>
    <xf numFmtId="4" fontId="16" fillId="12" borderId="0" xfId="0" applyNumberFormat="1" applyFont="1" applyFill="1" applyAlignment="1">
      <alignment horizontal="right" vertical="center"/>
    </xf>
    <xf numFmtId="2" fontId="11" fillId="0" borderId="0" xfId="10" applyNumberFormat="1" applyFont="1" applyAlignment="1">
      <alignment vertical="center" wrapText="1"/>
    </xf>
    <xf numFmtId="2" fontId="15" fillId="11" borderId="16" xfId="10" applyNumberFormat="1" applyFont="1" applyFill="1" applyBorder="1" applyAlignment="1">
      <alignment vertical="center"/>
    </xf>
    <xf numFmtId="2" fontId="11" fillId="0" borderId="0" xfId="10" applyNumberFormat="1" applyFont="1" applyAlignment="1">
      <alignment horizontal="center" vertical="center" wrapText="1"/>
    </xf>
    <xf numFmtId="2" fontId="11" fillId="0" borderId="14" xfId="10" applyNumberFormat="1" applyFont="1" applyFill="1" applyBorder="1" applyAlignment="1">
      <alignment vertical="center"/>
    </xf>
    <xf numFmtId="2" fontId="11" fillId="0" borderId="14" xfId="10" applyNumberFormat="1" applyFont="1" applyBorder="1" applyAlignment="1">
      <alignment horizontal="right" vertical="center"/>
    </xf>
    <xf numFmtId="2" fontId="15" fillId="11" borderId="16" xfId="10" applyNumberFormat="1" applyFont="1" applyFill="1" applyBorder="1" applyAlignment="1">
      <alignment horizontal="right" vertical="center"/>
    </xf>
    <xf numFmtId="2" fontId="11" fillId="0" borderId="0" xfId="10" applyNumberFormat="1" applyFont="1" applyAlignment="1">
      <alignment horizontal="right" vertical="center" wrapText="1"/>
    </xf>
    <xf numFmtId="2" fontId="15" fillId="11" borderId="17" xfId="10" applyNumberFormat="1" applyFont="1" applyFill="1" applyBorder="1" applyAlignment="1">
      <alignment vertical="center"/>
    </xf>
    <xf numFmtId="2" fontId="15" fillId="11" borderId="17" xfId="10" applyNumberFormat="1" applyFont="1" applyFill="1" applyBorder="1" applyAlignment="1">
      <alignment horizontal="right" vertical="center"/>
    </xf>
    <xf numFmtId="4" fontId="11" fillId="0" borderId="25" xfId="10" applyNumberFormat="1" applyFont="1" applyBorder="1" applyAlignment="1">
      <alignment horizontal="right" vertical="center"/>
    </xf>
    <xf numFmtId="4" fontId="15" fillId="11" borderId="17" xfId="10" applyNumberFormat="1" applyFont="1" applyFill="1" applyBorder="1" applyAlignment="1">
      <alignment horizontal="right" vertical="center"/>
    </xf>
    <xf numFmtId="171" fontId="15" fillId="11" borderId="17" xfId="10" applyNumberFormat="1" applyFont="1" applyFill="1" applyBorder="1" applyAlignment="1">
      <alignment vertical="center"/>
    </xf>
    <xf numFmtId="2" fontId="16" fillId="12" borderId="0" xfId="10" applyNumberFormat="1" applyFont="1" applyFill="1" applyAlignment="1">
      <alignment horizontal="right" vertical="center"/>
    </xf>
    <xf numFmtId="3" fontId="16" fillId="12" borderId="0" xfId="10" applyNumberFormat="1" applyFont="1" applyFill="1" applyAlignment="1">
      <alignment vertical="center"/>
    </xf>
    <xf numFmtId="171" fontId="16" fillId="12" borderId="0" xfId="10" applyNumberFormat="1" applyFont="1" applyFill="1" applyAlignment="1">
      <alignment horizontal="right" vertical="center"/>
    </xf>
    <xf numFmtId="4" fontId="16" fillId="12" borderId="0" xfId="10" applyNumberFormat="1" applyFont="1" applyFill="1" applyAlignment="1">
      <alignment vertical="center"/>
    </xf>
    <xf numFmtId="4" fontId="16" fillId="12" borderId="0" xfId="10" applyNumberFormat="1" applyFont="1" applyFill="1" applyBorder="1" applyAlignment="1">
      <alignment horizontal="right" vertical="center"/>
    </xf>
    <xf numFmtId="4" fontId="16" fillId="12" borderId="0" xfId="10" applyNumberFormat="1" applyFont="1" applyFill="1" applyAlignment="1">
      <alignment horizontal="right" vertical="center"/>
    </xf>
    <xf numFmtId="171" fontId="16" fillId="12" borderId="0" xfId="10" applyNumberFormat="1" applyFont="1" applyFill="1" applyAlignment="1">
      <alignment vertical="center"/>
    </xf>
    <xf numFmtId="2" fontId="11" fillId="0" borderId="25" xfId="10" applyNumberFormat="1" applyFont="1" applyBorder="1" applyAlignment="1">
      <alignment vertical="center"/>
    </xf>
    <xf numFmtId="2" fontId="11" fillId="0" borderId="25" xfId="10" applyNumberFormat="1" applyFont="1" applyBorder="1" applyAlignment="1">
      <alignment horizontal="right" vertical="center"/>
    </xf>
    <xf numFmtId="171" fontId="11" fillId="0" borderId="25" xfId="10" applyNumberFormat="1" applyFont="1" applyBorder="1" applyAlignment="1">
      <alignment vertical="center"/>
    </xf>
    <xf numFmtId="2" fontId="16" fillId="6" borderId="0" xfId="10" applyNumberFormat="1" applyFont="1" applyFill="1" applyAlignment="1">
      <alignment vertical="center"/>
    </xf>
    <xf numFmtId="2" fontId="16" fillId="12" borderId="0" xfId="10" applyNumberFormat="1" applyFont="1" applyFill="1" applyBorder="1" applyAlignment="1">
      <alignment vertical="center"/>
    </xf>
    <xf numFmtId="2" fontId="16" fillId="12" borderId="0" xfId="10" applyNumberFormat="1" applyFont="1" applyFill="1" applyAlignment="1">
      <alignment vertical="center"/>
    </xf>
    <xf numFmtId="43" fontId="16" fillId="12" borderId="0" xfId="10" applyNumberFormat="1" applyFont="1" applyFill="1" applyAlignment="1">
      <alignment vertical="center"/>
    </xf>
    <xf numFmtId="171" fontId="11" fillId="0" borderId="25" xfId="10" applyNumberFormat="1" applyFont="1" applyBorder="1" applyAlignment="1">
      <alignment horizontal="right" vertical="center"/>
    </xf>
    <xf numFmtId="171" fontId="15" fillId="11" borderId="17" xfId="10" applyNumberFormat="1" applyFont="1" applyFill="1" applyBorder="1" applyAlignment="1">
      <alignment horizontal="right" vertical="center"/>
    </xf>
    <xf numFmtId="172" fontId="16" fillId="12" borderId="16" xfId="10" applyNumberFormat="1" applyFont="1" applyFill="1" applyBorder="1" applyAlignment="1">
      <alignment horizontal="right" vertical="center"/>
    </xf>
    <xf numFmtId="171" fontId="16" fillId="12" borderId="16" xfId="10" applyNumberFormat="1" applyFont="1" applyFill="1" applyBorder="1" applyAlignment="1">
      <alignment horizontal="right" vertical="center"/>
    </xf>
    <xf numFmtId="171" fontId="16" fillId="12" borderId="17" xfId="10" applyNumberFormat="1" applyFont="1" applyFill="1" applyBorder="1" applyAlignment="1">
      <alignment horizontal="right" vertical="center"/>
    </xf>
    <xf numFmtId="172" fontId="16" fillId="12" borderId="16" xfId="10" applyNumberFormat="1" applyFont="1" applyFill="1" applyBorder="1" applyAlignment="1">
      <alignment vertical="center"/>
    </xf>
    <xf numFmtId="2" fontId="16" fillId="12" borderId="17" xfId="10" applyNumberFormat="1" applyFont="1" applyFill="1" applyBorder="1" applyAlignment="1">
      <alignment horizontal="right" vertical="center"/>
    </xf>
    <xf numFmtId="4" fontId="16" fillId="12" borderId="17" xfId="10" applyNumberFormat="1" applyFont="1" applyFill="1" applyBorder="1" applyAlignment="1">
      <alignment horizontal="right" vertical="center"/>
    </xf>
    <xf numFmtId="167" fontId="16" fillId="12" borderId="0" xfId="10" applyNumberFormat="1" applyFont="1" applyFill="1" applyAlignment="1">
      <alignment horizontal="right" vertical="center"/>
    </xf>
    <xf numFmtId="2" fontId="11" fillId="0" borderId="27" xfId="10" applyNumberFormat="1" applyFont="1" applyBorder="1" applyAlignment="1">
      <alignment horizontal="right" vertical="center"/>
    </xf>
    <xf numFmtId="0" fontId="11" fillId="0" borderId="14" xfId="0" applyFont="1" applyBorder="1" applyAlignment="1">
      <alignment horizontal="left" vertical="center" wrapText="1"/>
    </xf>
    <xf numFmtId="0" fontId="15" fillId="11" borderId="15" xfId="0" applyFont="1" applyFill="1" applyBorder="1" applyAlignment="1">
      <alignment horizontal="left" vertical="center" wrapText="1"/>
    </xf>
    <xf numFmtId="176" fontId="24" fillId="0" borderId="40" xfId="10" applyNumberFormat="1" applyFont="1" applyBorder="1" applyAlignment="1">
      <alignment horizontal="right" vertical="center"/>
    </xf>
    <xf numFmtId="176" fontId="24" fillId="0" borderId="31" xfId="10" applyNumberFormat="1" applyFont="1" applyBorder="1" applyAlignment="1">
      <alignment horizontal="right" vertical="center"/>
    </xf>
    <xf numFmtId="176" fontId="24" fillId="0" borderId="46" xfId="10" applyNumberFormat="1" applyFont="1" applyBorder="1" applyAlignment="1">
      <alignment horizontal="right" vertical="center"/>
    </xf>
    <xf numFmtId="176" fontId="24" fillId="0" borderId="0" xfId="10" applyNumberFormat="1" applyFont="1" applyBorder="1" applyAlignment="1">
      <alignment horizontal="right" vertical="center"/>
    </xf>
    <xf numFmtId="176" fontId="25" fillId="10" borderId="0" xfId="10" applyNumberFormat="1" applyFont="1" applyFill="1" applyAlignment="1">
      <alignment horizontal="right" vertical="center"/>
    </xf>
    <xf numFmtId="177" fontId="10" fillId="4" borderId="35" xfId="10" applyNumberFormat="1" applyFont="1" applyFill="1" applyBorder="1" applyAlignment="1">
      <alignment horizontal="right" vertical="center"/>
    </xf>
    <xf numFmtId="177" fontId="10" fillId="4" borderId="37" xfId="10" applyNumberFormat="1" applyFont="1" applyFill="1" applyBorder="1" applyAlignment="1">
      <alignment horizontal="right" vertical="center"/>
    </xf>
    <xf numFmtId="177" fontId="10" fillId="4" borderId="36" xfId="10" applyNumberFormat="1" applyFont="1" applyFill="1" applyBorder="1" applyAlignment="1">
      <alignment horizontal="right" vertical="center"/>
    </xf>
    <xf numFmtId="177" fontId="16" fillId="10" borderId="0" xfId="10" applyNumberFormat="1" applyFont="1" applyFill="1" applyAlignment="1">
      <alignment horizontal="right" vertical="center"/>
    </xf>
    <xf numFmtId="177" fontId="16" fillId="10" borderId="38" xfId="10" applyNumberFormat="1" applyFont="1" applyFill="1" applyBorder="1" applyAlignment="1">
      <alignment horizontal="right" vertical="center"/>
    </xf>
    <xf numFmtId="178" fontId="10" fillId="4" borderId="35" xfId="10" applyNumberFormat="1" applyFont="1" applyFill="1" applyBorder="1" applyAlignment="1">
      <alignment vertical="center"/>
    </xf>
    <xf numFmtId="178" fontId="10" fillId="4" borderId="37" xfId="10" applyNumberFormat="1" applyFont="1" applyFill="1" applyBorder="1" applyAlignment="1">
      <alignment vertical="center"/>
    </xf>
    <xf numFmtId="178" fontId="10" fillId="4" borderId="36" xfId="10" applyNumberFormat="1" applyFont="1" applyFill="1" applyBorder="1" applyAlignment="1">
      <alignment vertical="center"/>
    </xf>
    <xf numFmtId="178" fontId="16" fillId="10" borderId="0" xfId="10" applyNumberFormat="1" applyFont="1" applyFill="1" applyAlignment="1">
      <alignment horizontal="right" vertical="center"/>
    </xf>
    <xf numFmtId="178" fontId="16" fillId="10" borderId="38" xfId="10" applyNumberFormat="1" applyFont="1" applyFill="1" applyBorder="1" applyAlignment="1">
      <alignment horizontal="right" vertical="center"/>
    </xf>
    <xf numFmtId="17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18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168" fontId="8" fillId="4" borderId="0" xfId="10" applyNumberFormat="1" applyFont="1" applyFill="1" applyBorder="1" applyAlignment="1">
      <alignment horizontal="center" vertical="center" wrapText="1"/>
    </xf>
    <xf numFmtId="168" fontId="32" fillId="4" borderId="0" xfId="10" applyNumberFormat="1" applyFont="1" applyFill="1" applyBorder="1" applyAlignment="1">
      <alignment horizontal="center" vertical="center" wrapText="1"/>
    </xf>
    <xf numFmtId="168" fontId="32" fillId="4" borderId="6" xfId="10" applyNumberFormat="1" applyFont="1" applyFill="1" applyBorder="1" applyAlignment="1">
      <alignment horizontal="center" vertical="center" wrapText="1"/>
    </xf>
    <xf numFmtId="167" fontId="8" fillId="4" borderId="0" xfId="10" applyNumberFormat="1" applyFont="1" applyFill="1" applyBorder="1" applyAlignment="1">
      <alignment horizontal="center" vertical="center" wrapText="1"/>
    </xf>
    <xf numFmtId="167" fontId="9" fillId="4" borderId="0" xfId="1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</cellXfs>
  <cellStyles count="15">
    <cellStyle name="Comma" xfId="10" builtinId="3"/>
    <cellStyle name="Comma 2" xfId="13"/>
    <cellStyle name="Date" xfId="2"/>
    <cellStyle name="Fixed" xfId="3"/>
    <cellStyle name="Heading1" xfId="4"/>
    <cellStyle name="Heading2" xfId="5"/>
    <cellStyle name="Hyperlink" xfId="12" builtinId="8"/>
    <cellStyle name="Normal" xfId="0" builtinId="0"/>
    <cellStyle name="Normal 2" xfId="1"/>
    <cellStyle name="Normal 2 2" xfId="8"/>
    <cellStyle name="Normal 3" xfId="9"/>
    <cellStyle name="Normal_statistika_NOVO (2)-09.01.08" xfId="11"/>
    <cellStyle name="Obično_ik" xfId="6"/>
    <cellStyle name="Style 1" xfId="7"/>
    <cellStyle name="Total 2" xfId="14"/>
  </cellStyles>
  <dxfs count="3">
    <dxf>
      <fill>
        <patternFill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top/>
      </border>
    </dxf>
    <dxf>
      <fill>
        <patternFill patternType="solid">
          <fgColor theme="4" tint="0.79995117038483843"/>
          <bgColor theme="4" tint="0.79995117038483843"/>
        </patternFill>
      </fill>
      <border>
        <bottom/>
      </border>
    </dxf>
  </dxfs>
  <tableStyles count="1" defaultTableStyle="TableStyleMedium2" defaultPivotStyle="PivotStyleLight16">
    <tableStyle name="Flattened Pivot Style" table="0" count="3">
      <tableStyleElement type="headerRow" dxfId="2"/>
      <tableStyleElement type="totalRow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olapFunctions">
    <main first="\\tesla\Home\mpremor\Dokumenti\My Data Sources\hvar HUOBI RH Statistika">
      <tp t="e">
        <v>#N/A</v>
        <stp>1</stp>
        <tr r="C25" s="51"/>
        <tr r="C7" s="51"/>
        <tr r="E7" s="51"/>
        <tr r="B7" s="51"/>
        <tr r="E23" s="51"/>
        <tr r="E22" s="51"/>
        <tr r="E14" s="51"/>
        <tr r="E8" s="51"/>
        <tr r="E25" s="51"/>
        <tr r="E17" s="51"/>
        <tr r="E10" s="51"/>
        <tr r="B10" s="51"/>
        <tr r="C32" s="51"/>
        <tr r="D27" s="51"/>
        <tr r="C18" s="51"/>
        <tr r="B31" s="51"/>
        <tr r="B15" s="51"/>
        <tr r="C33" s="51"/>
        <tr r="D13" s="51"/>
        <tr r="C31" s="51"/>
        <tr r="D15" s="51"/>
        <tr r="E32" s="51"/>
        <tr r="B26" s="51"/>
        <tr r="E27" s="51"/>
        <tr r="C17" s="51"/>
        <tr r="C14" s="51"/>
        <tr r="B28" s="51"/>
        <tr r="B12" s="51"/>
        <tr r="C27" s="51"/>
        <tr r="D25" s="51"/>
        <tr r="C28" s="51"/>
        <tr r="E26" s="51"/>
        <tr r="D20" s="51"/>
        <tr r="C29" s="51"/>
        <tr r="D11" s="51"/>
        <tr r="D22" s="51"/>
        <tr r="E6" s="51"/>
        <tr r="E12" s="51"/>
        <tr r="D28" s="51"/>
        <tr r="B9" s="51"/>
        <tr r="B16" s="51"/>
        <tr r="D7" s="51"/>
        <tr r="C12" s="51"/>
        <tr r="D14" s="51"/>
        <tr r="C16" s="51"/>
        <tr r="D21" s="51"/>
        <tr r="C26" s="51"/>
        <tr r="B17" s="51"/>
        <tr r="E9" s="51"/>
        <tr r="B11" s="51"/>
        <tr r="D9" s="51"/>
        <tr r="D18" s="51"/>
        <tr r="D10" s="51"/>
        <tr r="D30" s="51"/>
        <tr r="B23" s="51"/>
        <tr r="E18" s="51"/>
        <tr r="E13" s="51"/>
        <tr r="E11" s="51"/>
        <tr r="B14" s="51"/>
        <tr r="C22" s="51"/>
        <tr r="C20" s="51"/>
        <tr r="E19" s="51"/>
        <tr r="C11" s="51"/>
        <tr r="E20" s="51"/>
        <tr r="E30" s="51"/>
        <tr r="B34" s="51"/>
        <tr r="E28" s="51"/>
        <tr r="C9" s="51"/>
        <tr r="B21" s="51"/>
        <tr r="C6" s="51"/>
        <tr r="E34" s="51"/>
        <tr r="C19" s="51"/>
        <tr r="B25" s="51"/>
        <tr r="D29" s="51"/>
        <tr r="E16" s="51"/>
        <tr r="B29" s="51"/>
        <tr r="E21" s="51"/>
        <tr r="E29" s="51"/>
        <tr r="C34" s="51"/>
        <tr r="B19" s="51"/>
        <tr r="E33" s="51"/>
        <tr r="D8" s="51"/>
        <tr r="E31" s="51"/>
        <tr r="E24" s="51"/>
        <tr r="C13" s="51"/>
        <tr r="B30" s="51"/>
        <tr r="A7" s="51"/>
        <tr r="B8" s="51"/>
        <tr r="B22" s="51"/>
        <tr r="B32" s="51"/>
        <tr r="B18" s="51"/>
        <tr r="E15" s="51"/>
        <tr r="E5" s="51"/>
        <tr r="D33" s="51"/>
        <tr r="D17" s="51"/>
        <tr r="A17" s="51"/>
        <tr r="C10" s="51"/>
        <tr r="D31" s="51"/>
        <tr r="C15" s="51"/>
        <tr r="B20" s="51"/>
        <tr r="A20" s="51"/>
        <tr r="D23" s="51"/>
        <tr r="C30" s="51"/>
        <tr r="A10" s="51"/>
        <tr r="D26" s="51"/>
        <tr r="A26" s="51"/>
        <tr r="B33" s="51"/>
        <tr r="A33" s="51"/>
        <tr r="A30" s="51"/>
        <tr r="D34" s="51"/>
        <tr r="D19" s="51"/>
        <tr r="D24" s="51"/>
        <tr r="C8" s="51"/>
        <tr r="D16" s="51"/>
        <tr r="D6" s="51"/>
        <tr r="D12" s="51"/>
        <tr r="C21" s="51"/>
        <tr r="D32" s="51"/>
        <tr r="B13" s="51"/>
        <tr r="A9" s="51"/>
        <tr r="C24" s="51"/>
        <tr r="A22" s="51"/>
        <tr r="B24" s="51"/>
        <tr r="A11" s="51"/>
        <tr r="A13" s="51"/>
        <tr r="B6" s="51"/>
        <tr r="A16" s="51"/>
        <tr r="A24" s="51"/>
        <tr r="C23" s="51"/>
        <tr r="B27" s="51"/>
        <tr r="A12" s="51"/>
        <tr r="A27" s="51"/>
        <tr r="A32" s="51"/>
        <tr r="B2" s="51"/>
        <tr r="A8" s="51"/>
        <tr r="A28" s="51"/>
        <tr r="A19" s="51"/>
        <tr r="A29" s="51"/>
        <tr r="A14" s="51"/>
        <tr r="B3" s="51"/>
        <tr r="C5" s="51"/>
        <tr r="A31" s="51"/>
        <tr r="A6" s="51"/>
        <tr r="A21" s="51"/>
        <tr r="A34" s="51"/>
        <tr r="A25" s="51"/>
        <tr r="A15" s="51"/>
        <tr r="B5" s="51"/>
        <tr r="A18" s="51"/>
        <tr r="D5" s="51"/>
        <tr r="A23" s="51"/>
      </tp>
    </main>
    <main first="KRK HUO2 RH Statistika">
      <tp t="e">
        <v>#N/A</v>
        <stp>1</stp>
        <tr r="G7" s="8"/>
        <tr r="G49" s="8"/>
        <tr r="G38" s="8"/>
        <tr r="B2" s="8"/>
        <tr r="G8" s="8"/>
        <tr r="G25" s="8"/>
        <tr r="G17" s="8"/>
        <tr r="G21" s="8"/>
        <tr r="G43" s="8"/>
        <tr r="G9" s="8"/>
        <tr r="G42" s="8"/>
        <tr r="G48" s="8"/>
        <tr r="G10" s="8"/>
        <tr r="G16" s="8"/>
        <tr r="G44" s="8"/>
        <tr r="G30" s="8"/>
        <tr r="G39" s="8"/>
        <tr r="C2" s="8"/>
        <tr r="G45" s="8"/>
        <tr r="G37" s="8"/>
        <tr r="C81" s="8"/>
        <tr r="C17" s="8"/>
        <tr r="F25" s="8"/>
        <tr r="G32" s="8"/>
        <tr r="F32" s="8"/>
        <tr r="A8" s="8"/>
        <tr r="A24" s="8"/>
        <tr r="C65" s="8"/>
        <tr r="C54" s="8"/>
        <tr r="C15" s="8"/>
        <tr r="G26" s="8"/>
        <tr r="A2" s="8"/>
        <tr r="F26" s="8"/>
        <tr r="G33" s="8"/>
        <tr r="G24" s="8"/>
        <tr r="F24" s="8"/>
        <tr r="F49" s="8"/>
        <tr r="A13" s="8"/>
        <tr r="G23" s="8"/>
        <tr r="F23" s="8"/>
        <tr r="C77" s="8"/>
        <tr r="G34" s="8"/>
        <tr r="F34" s="8"/>
        <tr r="C114" s="8"/>
        <tr r="G46" s="8"/>
        <tr r="F8" s="8"/>
        <tr r="C64" s="8"/>
        <tr r="C1" s="8"/>
        <tr r="C39" s="8"/>
        <tr r="C105" s="8"/>
        <tr r="G18" s="8"/>
        <tr r="C111" s="8"/>
        <tr r="C34" s="8"/>
        <tr r="C99" s="8"/>
        <tr r="A10" s="8"/>
        <tr r="G28" s="8"/>
        <tr r="C61" s="8"/>
        <tr r="G31" s="8"/>
        <tr r="G53" s="8"/>
        <tr r="C24" s="8"/>
        <tr r="A16" s="8"/>
        <tr r="A27" s="8"/>
        <tr r="C47" s="8"/>
        <tr r="C58" s="8"/>
        <tr r="C102" s="8"/>
        <tr r="A14" s="8"/>
        <tr r="C115" s="8"/>
        <tr r="F42" s="8"/>
        <tr r="F9" s="8"/>
        <tr r="C95" s="8"/>
        <tr r="F21" s="8"/>
        <tr r="A25" s="8"/>
        <tr r="A9" s="8"/>
        <tr r="C44" s="8"/>
        <tr r="C50" s="8"/>
        <tr r="A23" s="8"/>
        <tr r="F31" s="8"/>
        <tr r="C7" s="8"/>
        <tr r="C88" s="8"/>
        <tr r="G50" s="8"/>
        <tr r="G35" s="8"/>
        <tr r="G20" s="8"/>
        <tr r="G52" s="8"/>
        <tr r="F52" s="8"/>
        <tr r="C109" s="8"/>
        <tr r="C22" s="8"/>
        <tr r="A20" s="8"/>
        <tr r="C52" s="8"/>
        <tr r="G51" s="8"/>
        <tr r="C69" s="8"/>
        <tr r="A11" s="8"/>
        <tr r="C74" s="8"/>
        <tr r="G40" s="8"/>
        <tr r="C48" s="8"/>
        <tr r="C12" s="8"/>
        <tr r="G47" s="8"/>
        <tr r="C16" s="8"/>
        <tr r="G14" s="8"/>
        <tr r="F14" s="8"/>
        <tr r="C25" s="8"/>
        <tr r="C21" s="8"/>
        <tr r="C118" s="8"/>
        <tr r="C41" s="8"/>
        <tr r="A33" s="8"/>
        <tr r="A26" s="8"/>
        <tr r="F50" s="8"/>
        <tr r="C37" s="8"/>
        <tr r="C100" s="8"/>
        <tr r="C63" s="8"/>
        <tr r="A32" s="8"/>
        <tr r="C70" s="8"/>
        <tr r="C71" s="8"/>
        <tr r="F47" s="8"/>
        <tr r="C75" s="8"/>
        <tr r="F37" s="8"/>
        <tr r="F46" s="8"/>
        <tr r="C59" s="8"/>
        <tr r="C112" s="8"/>
        <tr r="A15" s="8"/>
        <tr r="F51" s="8"/>
        <tr r="C68" s="8"/>
        <tr r="G36" s="8"/>
        <tr r="F36" s="8"/>
        <tr r="F35" s="8"/>
        <tr r="C107" s="8"/>
        <tr r="C121" s="8"/>
        <tr r="F30" s="8"/>
        <tr r="F17" s="8"/>
        <tr r="A34" s="8"/>
        <tr r="A19" s="8"/>
        <tr r="C91" s="8"/>
        <tr r="C79" s="8"/>
        <tr r="C53" s="8"/>
        <tr r="C11" s="8"/>
        <tr r="A1" s="8"/>
        <tr r="C84" s="8"/>
        <tr r="C28" s="8"/>
        <tr r="G13" s="8"/>
        <tr r="G22" s="8"/>
        <tr r="F43" s="8"/>
        <tr r="C66" s="8"/>
        <tr r="C18" s="8"/>
        <tr r="G41" s="8"/>
        <tr r="B1" s="8"/>
        <tr r="A12" s="8"/>
        <tr r="G11" s="8"/>
        <tr r="G19" s="8"/>
        <tr r="G54" s="8"/>
        <tr r="C13" s="8"/>
        <tr r="C120" s="8"/>
        <tr r="C78" s="8"/>
        <tr r="F20" s="8"/>
        <tr r="C116" s="8"/>
        <tr r="F39" s="8"/>
        <tr r="C23" s="8"/>
        <tr r="C49" s="8"/>
        <tr r="F19" s="8"/>
        <tr r="C56" s="8"/>
        <tr r="C96" s="8"/>
        <tr r="C117" s="8"/>
        <tr r="C40" s="8"/>
        <tr r="F44" s="8"/>
        <tr r="C42" s="8"/>
        <tr r="C33" s="8"/>
        <tr r="C60" s="8"/>
        <tr r="C26" s="8"/>
        <tr r="C113" s="8"/>
        <tr r="C38" s="8"/>
        <tr r="C76" s="8"/>
        <tr r="C94" s="8"/>
        <tr r="F48" s="8"/>
        <tr r="F40" s="8"/>
        <tr r="C51" s="8"/>
        <tr r="C9" s="8"/>
        <tr r="C32" s="8"/>
        <tr r="F22" s="8"/>
        <tr r="A7" s="8"/>
        <tr r="C83" s="8"/>
        <tr r="F41" s="8"/>
        <tr r="C106" s="8"/>
        <tr r="A31" s="8"/>
        <tr r="G15" s="8"/>
        <tr r="F15" s="8"/>
        <tr r="C67" s="8"/>
        <tr r="F18" s="8"/>
        <tr r="C119" s="8"/>
        <tr r="G12" s="8"/>
        <tr r="F12" s="8"/>
        <tr r="F45" s="8"/>
        <tr r="A29" s="8"/>
        <tr r="A18" s="8"/>
        <tr r="C104" s="8"/>
        <tr r="C92" s="8"/>
        <tr r="C103" s="8"/>
        <tr r="C62" s="8"/>
        <tr r="F13" s="8"/>
        <tr r="C35" s="8"/>
        <tr r="C27" s="8"/>
        <tr r="G27" s="8"/>
        <tr r="C97" s="8"/>
        <tr r="C89" s="8"/>
        <tr r="F38" s="8"/>
        <tr r="F33" s="8"/>
        <tr r="G29" s="8"/>
        <tr r="C8" s="8"/>
        <tr r="C43" s="8"/>
        <tr r="C10" s="8"/>
        <tr r="F10" s="8"/>
        <tr r="A28" s="8"/>
        <tr r="A17" s="8"/>
        <tr r="C29" s="8"/>
        <tr r="F28" s="8"/>
        <tr r="C87" s="8"/>
        <tr r="C46" s="8"/>
        <tr r="C110" s="8"/>
        <tr r="C31" s="8"/>
        <tr r="F27" s="8"/>
        <tr r="F11" s="8"/>
        <tr r="C30" s="8"/>
        <tr r="F29" s="8"/>
        <tr r="C36" s="8"/>
        <tr r="C45" s="8"/>
        <tr r="F16" s="8"/>
        <tr r="C86" s="8"/>
        <tr r="G6" s="8"/>
        <tr r="C82" s="8"/>
        <tr r="C101" s="8"/>
        <tr r="C90" s="8"/>
        <tr r="C85" s="8"/>
        <tr r="C108" s="8"/>
        <tr r="C98" s="8"/>
        <tr r="C55" s="8"/>
        <tr r="F7" s="8"/>
        <tr r="C57" s="8"/>
        <tr r="C73" s="8"/>
        <tr r="C14" s="8"/>
        <tr r="C20" s="8"/>
        <tr r="A21" s="8"/>
        <tr r="C80" s="8"/>
        <tr r="F53" s="8"/>
        <tr r="F54" s="8"/>
        <tr r="C93" s="8"/>
        <tr r="C19" s="8"/>
        <tr r="A22" s="8"/>
        <tr r="A30" s="8"/>
        <tr r="C72" s="8"/>
      </tp>
    </main>
  </volType>
</volType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42" Type="http://schemas.openxmlformats.org/officeDocument/2006/relationships/customXml" Target="../customXml/item8.xml"/><Relationship Id="rId47" Type="http://schemas.openxmlformats.org/officeDocument/2006/relationships/customXml" Target="../customXml/item13.xml"/><Relationship Id="rId50" Type="http://schemas.openxmlformats.org/officeDocument/2006/relationships/customXml" Target="../customXml/item1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eetMetadata" Target="metadata.xml"/><Relationship Id="rId38" Type="http://schemas.openxmlformats.org/officeDocument/2006/relationships/customXml" Target="../customXml/item4.xml"/><Relationship Id="rId46" Type="http://schemas.openxmlformats.org/officeDocument/2006/relationships/customXml" Target="../customXml/item1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41" Type="http://schemas.openxmlformats.org/officeDocument/2006/relationships/customXml" Target="../customXml/item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37" Type="http://schemas.openxmlformats.org/officeDocument/2006/relationships/customXml" Target="../customXml/item3.xml"/><Relationship Id="rId40" Type="http://schemas.openxmlformats.org/officeDocument/2006/relationships/customXml" Target="../customXml/item6.xml"/><Relationship Id="rId45" Type="http://schemas.openxmlformats.org/officeDocument/2006/relationships/customXml" Target="../customXml/item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36" Type="http://schemas.openxmlformats.org/officeDocument/2006/relationships/customXml" Target="../customXml/item2.xml"/><Relationship Id="rId49" Type="http://schemas.openxmlformats.org/officeDocument/2006/relationships/customXml" Target="../customXml/item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4" Type="http://schemas.openxmlformats.org/officeDocument/2006/relationships/customXml" Target="../customXml/item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connections" Target="connections.xml"/><Relationship Id="rId35" Type="http://schemas.openxmlformats.org/officeDocument/2006/relationships/customXml" Target="../customXml/item1.xml"/><Relationship Id="rId43" Type="http://schemas.openxmlformats.org/officeDocument/2006/relationships/customXml" Target="../customXml/item9.xml"/><Relationship Id="rId48" Type="http://schemas.openxmlformats.org/officeDocument/2006/relationships/customXml" Target="../customXml/item14.xml"/><Relationship Id="rId8" Type="http://schemas.openxmlformats.org/officeDocument/2006/relationships/worksheet" Target="worksheets/sheet8.xml"/><Relationship Id="rId51" Type="http://schemas.openxmlformats.org/officeDocument/2006/relationships/volatileDependencies" Target="volatileDependencie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saveData="0" refreshedBy="Mihaela Premor Andrijanić" refreshedDate="42074.496138773146" backgroundQuery="1" createdVersion="3" refreshedVersion="4" minRefreshableVersion="3" recordCount="0" tupleCache="1">
  <cacheSource type="external" connectionId="1"/>
  <cacheFields count="6">
    <cacheField name="[Učestalost podataka].[Učestalost podatka].[Učestalost podatka]" caption="Učestalost podatka" numFmtId="0" hierarchy="64" level="1">
      <sharedItems count="1">
        <s v="[Učestalost podataka].[Učestalost podatka].&amp;[7]" c="K-01"/>
      </sharedItems>
    </cacheField>
    <cacheField name="[Podvrste osiguranja].[hPodvrsteOsiguranja].[Skupina osiguranja]" caption="Skupina osiguranja" numFmtId="0" hierarchy="41" level="1">
      <sharedItems count="1">
        <s v="[Podvrste osiguranja].[hPodvrsteOsiguranja].[Skupina osiguranja].&amp;[2]" c="Život"/>
      </sharedItems>
    </cacheField>
    <cacheField name="[Podvrste osiguranja].[hPodvrsteOsiguranja].[Vrsta osiguranja]" caption="Vrsta osiguranja" numFmtId="0" hierarchy="41" level="2">
      <sharedItems count="7">
        <s v="[Podvrste osiguranja].[hPodvrsteOsiguranja].[Vrsta osiguranja].&amp;[24]" c="24 TONTINE"/>
        <s v="[Podvrste osiguranja].[hPodvrsteOsiguranja].[Vrsta osiguranja].&amp;[25]" c="25 OSIGURANJE S KAPITALIZACIJOM"/>
        <s v="[Podvrste osiguranja].[hPodvrsteOsiguranja].[Vrsta osiguranja].&amp;[21]" c="21 DOPUNSKA OSIGURANJA ŽIVOTNOG OSIGURANJA"/>
        <s v="[Podvrste osiguranja].[hPodvrsteOsiguranja].[Vrsta osiguranja].&amp;[20]" c="20 RENTNO OSIGURANJE"/>
        <s v="[Podvrste osiguranja].[hPodvrsteOsiguranja].[Vrsta osiguranja].&amp;[23]" c="23 ŽIVOTNA ILI RENTNA OSIGURANJA KOD KOJIH UGOVARATELJ OSIGURANJA SNOSI RIZIK ULAGANJA"/>
        <s v="[Podvrste osiguranja].[hPodvrsteOsiguranja].[Vrsta osiguranja].&amp;[22]" c="22 OSIGURANJE ZA SLUČAJ VJENČANJA ILI ROĐENJA"/>
        <s v="[Podvrste osiguranja].[hPodvrsteOsiguranja].[Vrsta osiguranja].&amp;[19]" c="19 ŽIVOTNO OSIGURANJE"/>
      </sharedItems>
    </cacheField>
    <cacheField name="[Podvrste osiguranja].[hPodvrsteOsiguranja].[Rizik]" caption="Rizik" numFmtId="0" hierarchy="41" level="3">
      <sharedItems count="20">
        <s v="[Podvrste osiguranja].[hPodvrsteOsiguranja].[Rizik].&amp;[114]" c="21.99 OSTALA DOPUNSKA OSIGURANJA UZ OSIGURANJE ŽIVOTA"/>
        <s v="[Podvrste osiguranja].[hPodvrsteOsiguranja].[Rizik].&amp;[115]" c="22.01 OSIGURANJE ZA SLUČAJ VJENČANJA ILI ROĐENJA"/>
        <s v="[Podvrste osiguranja].[hPodvrsteOsiguranja].[Rizik].&amp;[122]" c="25.01 OSIGURANJE S KAPITALIZACIJOM ISPLATE"/>
        <s v="[Podvrste osiguranja].[hPodvrsteOsiguranja].[Rizik].&amp;[121]" c="24.01 TONTINE"/>
        <s v="[Podvrste osiguranja].[hPodvrsteOsiguranja].[Rizik].&amp;[118]" c="23.03 OSIGURANJE ZA SLUČAJ DOŽIVLJENJA KOD KOJEG OSIGURANIK NA SEBE PREUZIMA INVESTICIJSKI RIZIK"/>
        <s v="[Podvrste osiguranja].[hPodvrsteOsiguranja].[Rizik].&amp;[117]" c="23.02 OSIGURANJE ZA SLUČAJ SMRTI KOD KOJEG OSIGURANIK NA SEBE PREUZIMA INVESTICIJSKI RIZIK"/>
        <s v="[Podvrste osiguranja].[hPodvrsteOsiguranja].[Rizik].&amp;[100]" c="19.05 OSIGURANJE KRITIČNIH BOLESTI"/>
        <s v="[Podvrste osiguranja].[hPodvrsteOsiguranja].[Rizik].&amp;[98]" c="19.03 OSIGURANJE ZA SLUČAJ DOŽIVLJENJA"/>
        <s v="[Podvrste osiguranja].[hPodvrsteOsiguranja].[Rizik].&amp;[113]" c="21.02 DOPUNSKO ZDRAVSTVENO OSIGURANJE UZ OSIGURANJE ŽIVOTA"/>
        <s v="[Podvrste osiguranja].[hPodvrsteOsiguranja].[Rizik].&amp;[109]" c="20.01 OSIGURANJE OSOBNE DOŽIVOTNE RENTE"/>
        <s v="[Podvrste osiguranja].[hPodvrsteOsiguranja].[Rizik].&amp;[110]" c="20.02 OSIGURANJE OSOBNE RENTE S ODREĐENIM TRAJANJEM"/>
        <s v="[Podvrste osiguranja].[hPodvrsteOsiguranja].[Rizik].&amp;[120]" c="23.99 OSTALA ŽIVOTNA OSIGURANJA KOD KOJIH OSIGURANIK NA SEBE PREUZIMA INVESTICIJSKI RIZIK"/>
        <s v="[Podvrste osiguranja].[hPodvrsteOsiguranja].[Rizik].&amp;[108]" c="19.99 OSTALA OSIGURANJA ŽIVOTA"/>
        <s v="[Podvrste osiguranja].[hPodvrsteOsiguranja].[Rizik].&amp;[111]" c="20.99 OSTALA RENTNA OSIGURANJA"/>
        <s v="[Podvrste osiguranja].[hPodvrsteOsiguranja].[Rizik].&amp;[116]" c="23.01 OSIG. ŽIVOTA ZA SLUČAJ SMRTI I DOŽIVLJENJA KOD KOJEG OSIGURANIK NA SEBE PREUZIMA INV. RIZIK"/>
        <s v="[Podvrste osiguranja].[hPodvrsteOsiguranja].[Rizik].&amp;[112]" c="21.01 DOPUNSKO OSIGURANJE OD POSLJEDICA NEZGODE UZ OSIGURANJE ŽIVOTA"/>
        <s v="[Podvrste osiguranja].[hPodvrsteOsiguranja].[Rizik].&amp;[99]" c="19.04 DOŽIVOTNO OSIGURANJE ZA SLUČAJ SMRTI"/>
        <s v="[Podvrste osiguranja].[hPodvrsteOsiguranja].[Rizik].&amp;[119]" c="23.04 ŽIVOTNO OSIGURANJE KOD KOJEG OSIGURANIK NA SEBE PREUZIMA INVESTICIJSKI RIZIK S GARANCIJOM ISPLATE"/>
        <s v="[Podvrste osiguranja].[hPodvrsteOsiguranja].[Rizik].&amp;[96]" c="19.01 OSIGURANJE ŽIVOTA ZA SLUČAJ SMRTI I DOŽIVLJENJA (MJEŠOVITO OSIGURANJE)"/>
        <s v="[Podvrste osiguranja].[hPodvrsteOsiguranja].[Rizik].&amp;[97]" c="19.02 OSIGURANJE ZA SLUČAJ SMRTI"/>
      </sharedItems>
    </cacheField>
    <cacheField name="[Measures].[MeasuresLevel]" caption="MeasuresLevel" numFmtId="0" hierarchy="39">
      <sharedItems count="4">
        <s v="[Measures].[Zaračunata bruto premija novih osiguranja s jednokratnim plaćanjem premije]" c="Zaračunata bruto premija novih osiguranja s jednokratnim plaćanjem premije"/>
        <s v="[Measures].[Broj novih osiguranja s višekratnim plaćanjem premije]" c="Broj novih osiguranja s višekratnim plaćanjem premije"/>
        <s v="[Measures].[Broj novih osiguranja s jednokratnim plaćanjem premije]" c="Broj novih osiguranja s jednokratnim plaćanjem premije"/>
        <s v="[Measures].[Zaračunata bruto premija novih osiguranja s višekratnim plaćanjem premije]" c="Zaračunata bruto premija novih osiguranja s višekratnim plaćanjem premije"/>
      </sharedItems>
    </cacheField>
    <cacheField name="[Godina Podatka].[Godina podatka].[Godina podatka]" caption="Godina podatka" numFmtId="0" hierarchy="35" level="1">
      <sharedItems count="1">
        <s v="[Godina Podatka].[Godina podatka].&amp;[2013]" c="2013"/>
      </sharedItems>
    </cacheField>
  </cacheFields>
  <cacheHierarchies count="234">
    <cacheHierarchy uniqueName="[Bilanca].[Broj pozicije]" caption="Broj pozicije" attribute="1" defaultMemberUniqueName="[Bilanca].[Broj pozicije].[Sve pozicije]" allUniqueName="[Bilanca].[Broj pozicije].[Sve pozicije]" dimensionUniqueName="[Bilanca]" displayFolder="" count="2" unbalanced="0"/>
    <cacheHierarchy uniqueName="[Bilanca].[Nad pozicija]" caption="Nad pozicija" defaultMemberUniqueName="[Bilanca].[Nad pozicija].[Sve pozicije]" allUniqueName="[Bilanca].[Nad pozicija].[Sve pozicije]" dimensionUniqueName="[Bilanca]" displayFolder="" count="8" unbalanced="1"/>
    <cacheHierarchy uniqueName="[Bilanca].[Opis pozcije]" caption="Opis pozcije" attribute="1" defaultMemberUniqueName="[Bilanca].[Opis pozcije].[Sve pozicije]" allUniqueName="[Bilanca].[Opis pozcije].[Sve pozicije]" dimensionUniqueName="[Bilanca]" displayFolder="" count="2" unbalanced="0"/>
    <cacheHierarchy uniqueName="[Bilanca].[Oznaka pozicije]" caption="Oznaka pozicije" attribute="1" defaultMemberUniqueName="[Bilanca].[Oznaka pozicije].[Sve pozicije]" allUniqueName="[Bilanca].[Oznaka pozicije].[Sve pozicije]" dimensionUniqueName="[Bilanca]" displayFolder="" count="2" unbalanced="0"/>
    <cacheHierarchy uniqueName="[Bilanca].[Pozicija]" caption="Pozicija" attribute="1" keyAttribute="1" defaultMemberUniqueName="[Bilanca].[Pozicija].[Sve pozicije]" allUniqueName="[Bilanca].[Pozicija].[Sve pozicije]" dimensionUniqueName="[Bilanca]" displayFolder="" count="2" unbalanced="0"/>
    <cacheHierarchy uniqueName="[Datum dostave].[Dan U Tjednu]" caption="Dan U Tjednu" attribute="1" time="1" defaultMemberUniqueName="[Datum dostave].[Dan U Tjednu].[All]" allUniqueName="[Datum dostave].[Dan U Tjednu].[All]" dimensionUniqueName="[Datum dostave]" displayFolder="" count="2" unbalanced="0"/>
    <cacheHierarchy uniqueName="[Datum dostave].[Datum]" caption="Datum" attribute="1" time="1" keyAttribute="1" defaultMemberUniqueName="[Datum dostave].[Datum].[All]" allUniqueName="[Datum dostave].[Datum].[All]" dimensionUniqueName="[Datum dostave]" displayFolder="" count="2" memberValueDatatype="130" unbalanced="0"/>
    <cacheHierarchy uniqueName="[Datum dostave].[Godina]" caption="Godina" attribute="1" time="1" defaultMemberUniqueName="[Datum dostave].[Godina].[All]" allUniqueName="[Datum dostave].[Godina].[All]" dimensionUniqueName="[Datum dostave]" displayFolder="" count="2" unbalanced="0"/>
    <cacheHierarchy uniqueName="[Datum dostave].[Hierarchy]" caption="Hierarchy" time="1" defaultMemberUniqueName="[Datum dostave].[Hierarchy].[All]" allUniqueName="[Datum dostave].[Hierarchy].[All]" dimensionUniqueName="[Datum dostave]" displayFolder="" count="5" unbalanced="0"/>
    <cacheHierarchy uniqueName="[Datum dostave].[Kvartal]" caption="Kvartal" attribute="1" time="1" defaultMemberUniqueName="[Datum dostave].[Kvartal].[All]" allUniqueName="[Datum dostave].[Kvartal].[All]" dimensionUniqueName="[Datum dostave]" displayFolder="" count="2" unbalanced="0"/>
    <cacheHierarchy uniqueName="[Datum dostave].[Mjesec]" caption="Mjesec" attribute="1" time="1" defaultMemberUniqueName="[Datum dostave].[Mjesec].[All]" allUniqueName="[Datum dostave].[Mjesec].[All]" dimensionUniqueName="[Datum dostave]" displayFolder="" count="2" unbalanced="0"/>
    <cacheHierarchy uniqueName="[Društva].[Adresa 1]" caption="Adresa 1" attribute="1" defaultMemberUniqueName="[Društva].[Adresa 1].[Sva društva]" allUniqueName="[Društva].[Adresa 1].[Sva društva]" dimensionUniqueName="[Društva]" displayFolder="" count="2" unbalanced="0"/>
    <cacheHierarchy uniqueName="[Društva].[Adresa 2]" caption="Adresa 2" attribute="1" defaultMemberUniqueName="[Društva].[Adresa 2].[Sva društva]" allUniqueName="[Društva].[Adresa 2].[Sva društva]" dimensionUniqueName="[Društva]" displayFolder="" count="2" unbalanced="0"/>
    <cacheHierarchy uniqueName="[Društva].[Adresa 3]" caption="Adresa 3" attribute="1" defaultMemberUniqueName="[Društva].[Adresa 3].[Sva društva]" allUniqueName="[Društva].[Adresa 3].[Sva društva]" dimensionUniqueName="[Društva]" displayFolder="" count="2" unbalanced="0"/>
    <cacheHierarchy uniqueName="[Društva].[Adresa 4]" caption="Adresa 4" attribute="1" defaultMemberUniqueName="[Društva].[Adresa 4].[Sva društva]" allUniqueName="[Društva].[Adresa 4].[Sva društva]" dimensionUniqueName="[Društva]" displayFolder="" count="2" unbalanced="0"/>
    <cacheHierarchy uniqueName="[Društva].[Broj Pošte]" caption="Broj Pošte" attribute="1" defaultMemberUniqueName="[Društva].[Broj Pošte].[Sva društva]" allUniqueName="[Društva].[Broj Pošte].[Sva društva]" dimensionUniqueName="[Društva]" displayFolder="" count="2" unbalanced="0"/>
    <cacheHierarchy uniqueName="[Društva].[Članstvo HUO]" caption="Članstvo HUO" attribute="1" defaultMemberUniqueName="[Društva].[Članstvo HUO].[Sva društva]" allUniqueName="[Društva].[Članstvo HUO].[Sva društva]" dimensionUniqueName="[Društva]" displayFolder="" count="2" unbalanced="0"/>
    <cacheHierarchy uniqueName="[Društva].[Društvo]" caption="Društvo" attribute="1" defaultMemberUniqueName="[Društva].[Društvo].[Sva društva]" allUniqueName="[Društva].[Društvo].[Sva društva]" dimensionUniqueName="[Društva]" displayFolder="" count="2" unbalanced="0"/>
    <cacheHierarchy uniqueName="[Društva].[Država]" caption="Država" attribute="1" defaultMemberUniqueName="[Društva].[Država].[Sva društva]" allUniqueName="[Društva].[Država].[Sva društva]" dimensionUniqueName="[Društva]" displayFolder="" count="2" unbalanced="0"/>
    <cacheHierarchy uniqueName="[Društva].[Fax 1]" caption="Fax 1" attribute="1" defaultMemberUniqueName="[Društva].[Fax 1].[Sva društva]" allUniqueName="[Društva].[Fax 1].[Sva društva]" dimensionUniqueName="[Društva]" displayFolder="" count="2" unbalanced="0"/>
    <cacheHierarchy uniqueName="[Društva].[Fax 2]" caption="Fax 2" attribute="1" defaultMemberUniqueName="[Društva].[Fax 2].[Sva društva]" allUniqueName="[Društva].[Fax 2].[Sva društva]" dimensionUniqueName="[Društva]" displayFolder="" count="2" unbalanced="0"/>
    <cacheHierarchy uniqueName="[Društva].[Fax Stranka]" caption="Fax Stranka" attribute="1" defaultMemberUniqueName="[Društva].[Fax Stranka].[Sva društva]" allUniqueName="[Društva].[Fax Stranka].[Sva društva]" dimensionUniqueName="[Društva]" displayFolder="" count="2" unbalanced="0"/>
    <cacheHierarchy uniqueName="[Društva].[Hierarchy]" caption="Hierarchy" defaultMemberUniqueName="[Društva].[Hierarchy].[All]" allUniqueName="[Društva].[Hierarchy].[All]" dimensionUniqueName="[Društva]" displayFolder="" count="3" unbalanced="0"/>
    <cacheHierarchy uniqueName="[Društva].[Kod Društva]" caption="Kod Društva" attribute="1" defaultMemberUniqueName="[Društva].[Kod Društva].[Sva društva]" allUniqueName="[Društva].[Kod Društva].[Sva društva]" dimensionUniqueName="[Društva]" displayFolder="" count="2" unbalanced="0"/>
    <cacheHierarchy uniqueName="[Društva].[Mail Adresa 1]" caption="Mail Adresa 1" attribute="1" defaultMemberUniqueName="[Društva].[Mail Adresa 1].[Sva društva]" allUniqueName="[Društva].[Mail Adresa 1].[Sva društva]" dimensionUniqueName="[Društva]" displayFolder="" count="2" unbalanced="0"/>
    <cacheHierarchy uniqueName="[Društva].[Mail Adresa 2]" caption="Mail Adresa 2" attribute="1" defaultMemberUniqueName="[Društva].[Mail Adresa 2].[Sva društva]" allUniqueName="[Društva].[Mail Adresa 2].[Sva društva]" dimensionUniqueName="[Društva]" displayFolder="" count="2" unbalanced="0"/>
    <cacheHierarchy uniqueName="[Društva].[Mail Stranka]" caption="Mail Stranka" attribute="1" defaultMemberUniqueName="[Društva].[Mail Stranka].[Sva društva]" allUniqueName="[Društva].[Mail Stranka].[Sva društva]" dimensionUniqueName="[Društva]" displayFolder="" count="2" unbalanced="0"/>
    <cacheHierarchy uniqueName="[Društva].[Matični Broj]" caption="Matični Broj" attribute="1" defaultMemberUniqueName="[Društva].[Matični Broj].[Sva društva]" allUniqueName="[Društva].[Matični Broj].[Sva društva]" dimensionUniqueName="[Društva]" displayFolder="" count="2" unbalanced="0"/>
    <cacheHierarchy uniqueName="[Društva].[OIB]" caption="OIB" attribute="1" defaultMemberUniqueName="[Društva].[OIB].[Sva društva]" allUniqueName="[Društva].[OIB].[Sva društva]" dimensionUniqueName="[Društva]" displayFolder="" count="2" unbalanced="0"/>
    <cacheHierarchy uniqueName="[Društva].[Podružnica]" caption="Podružnica" attribute="1" keyAttribute="1" defaultMemberUniqueName="[Društva].[Podružnica].[Sva društva]" allUniqueName="[Društva].[Podružnica].[Sva društva]" dimensionUniqueName="[Društva]" displayFolder="" count="2" unbalanced="0"/>
    <cacheHierarchy uniqueName="[Društva].[Telefon 1]" caption="Telefon 1" attribute="1" defaultMemberUniqueName="[Društva].[Telefon 1].[Sva društva]" allUniqueName="[Društva].[Telefon 1].[Sva društva]" dimensionUniqueName="[Društva]" displayFolder="" count="2" unbalanced="0"/>
    <cacheHierarchy uniqueName="[Društva].[Telefon 2]" caption="Telefon 2" attribute="1" defaultMemberUniqueName="[Društva].[Telefon 2].[Sva društva]" allUniqueName="[Društva].[Telefon 2].[Sva društva]" dimensionUniqueName="[Društva]" displayFolder="" count="2" unbalanced="0"/>
    <cacheHierarchy uniqueName="[Društva].[Telefon 3]" caption="Telefon 3" attribute="1" defaultMemberUniqueName="[Društva].[Telefon 3].[Sva društva]" allUniqueName="[Društva].[Telefon 3].[Sva društva]" dimensionUniqueName="[Društva]" displayFolder="" count="2" unbalanced="0"/>
    <cacheHierarchy uniqueName="[Društva].[Telefon Stranka]" caption="Telefon Stranka" attribute="1" defaultMemberUniqueName="[Društva].[Telefon Stranka].[Sva društva]" allUniqueName="[Društva].[Telefon Stranka].[Sva društva]" dimensionUniqueName="[Društva]" displayFolder="" count="2" unbalanced="0"/>
    <cacheHierarchy uniqueName="[Društva].[Web Adresa]" caption="Web Adresa" attribute="1" defaultMemberUniqueName="[Društva].[Web Adresa].[Sva društva]" allUniqueName="[Društva].[Web Adresa].[Sva društva]" dimensionUniqueName="[Društva]" displayFolder="" count="2" unbalanced="0"/>
    <cacheHierarchy uniqueName="[Godina Podatka].[Godina podatka]" caption="Godina podatka" attribute="1" keyAttribute="1" defaultMemberUniqueName="[Godina Podatka].[Godina podatka].[Sve]" allUniqueName="[Godina Podatka].[Godina podatka].[Sve]" dimensionUniqueName="[Godina Podatka]" displayFolder="" count="2" unbalanced="0">
      <fieldsUsage count="2">
        <fieldUsage x="-1"/>
        <fieldUsage x="5"/>
      </fieldsUsage>
    </cacheHierarchy>
    <cacheHierarchy uniqueName="[HUO Podatak].[HUOS]" caption="HUO Podatak.HUOS" attribute="1" defaultMemberUniqueName="[HUO Podatak].[HUOS].[Svi]" allUniqueName="[HUO Podatak].[HUOS].[Svi]" dimensionUniqueName="[HUO Podatak]" displayFolder="" count="2" unbalanced="0"/>
    <cacheHierarchy uniqueName="[HUO Podatak].[Opis2]" caption="HUO Podatak.Opis2" attribute="1" defaultMemberUniqueName="[HUO Podatak].[Opis2].[Svi]" allUniqueName="[HUO Podatak].[Opis2].[Svi]" dimensionUniqueName="[HUO Podatak]" displayFolder="" count="2" unbalanced="0"/>
    <cacheHierarchy uniqueName="[HUO Podatak].[Pomoćna]" caption="HUO Podatak.Pomoćna" attribute="1" keyAttribute="1" defaultMemberUniqueName="[HUO Podatak].[Pomoćna].[Svi]" allUniqueName="[HUO Podatak].[Pomoćna].[Svi]" dimensionUniqueName="[HUO Podatak]" displayFolder="" count="2" unbalanced="0"/>
    <cacheHierarchy uniqueName="[Measures]" caption="Measures" attribute="1" keyAttribute="1" defaultMemberUniqueName="[Measures].[Iznos bilance]" dimensionUniqueName="[Measures]" displayFolder="" measures="1" count="1" unbalanced="0">
      <fieldsUsage count="1">
        <fieldUsage x="4"/>
      </fieldsUsage>
    </cacheHierarchy>
    <cacheHierarchy uniqueName="[Oblici ugovaranja].[Oblik ugovaranja]" caption="Oblik ugovaranja" attribute="1" keyAttribute="1" defaultMemberUniqueName="[Oblici ugovaranja].[Oblik ugovaranja].[Svi]" allUniqueName="[Oblici ugovaranja].[Oblik ugovaranja].[Svi]" dimensionUniqueName="[Oblici ugovaranja]" displayFolder="" count="2" unbalanced="0"/>
    <cacheHierarchy uniqueName="[Podvrste osiguranja].[hPodvrsteOsiguranja]" caption="hPodvrsteOsiguranja" defaultMemberUniqueName="[Podvrste osiguranja].[hPodvrsteOsiguranja].[Sve]" allUniqueName="[Podvrste osiguranja].[hPodvrsteOsiguranja].[Sve]" allCaption="Sve" dimensionUniqueName="[Podvrste osiguranja]" displayFolder="" count="5" unbalanced="0">
      <fieldsUsage count="4">
        <fieldUsage x="-1"/>
        <fieldUsage x="1"/>
        <fieldUsage x="2"/>
        <fieldUsage x="3"/>
      </fieldsUsage>
    </cacheHierarchy>
    <cacheHierarchy uniqueName="[Podvrste osiguranja].[Podvrsta osiguranja]" caption="Podvrsta osiguranja" attribute="1" keyAttribute="1" defaultMemberUniqueName="[Podvrste osiguranja].[Podvrsta osiguranja].[Sve]" allUniqueName="[Podvrste osiguranja].[Podvrsta osiguranja].[Sve]" dimensionUniqueName="[Podvrste osiguranja]" displayFolder="" count="2" unbalanced="0"/>
    <cacheHierarchy uniqueName="[Podvrste osiguranja].[Rizik]" caption="Rizik" attribute="1" defaultMemberUniqueName="[Podvrste osiguranja].[Rizik].[Sve]" allUniqueName="[Podvrste osiguranja].[Rizik].[Sve]" dimensionUniqueName="[Podvrste osiguranja]" displayFolder="Atributi" count="2" unbalanced="0"/>
    <cacheHierarchy uniqueName="[Podvrste osiguranja].[Skupina osiguranja]" caption="Skupina osiguranja" attribute="1" defaultMemberUniqueName="[Podvrste osiguranja].[Skupina osiguranja].[Sve]" allUniqueName="[Podvrste osiguranja].[Skupina osiguranja].[Sve]" dimensionUniqueName="[Podvrste osiguranja]" displayFolder="" count="2" unbalanced="0"/>
    <cacheHierarchy uniqueName="[Podvrste osiguranja].[Šifra podvrste osiguranja]" caption="Šifra podvrste osiguranja" attribute="1" defaultMemberUniqueName="[Podvrste osiguranja].[Šifra podvrste osiguranja].[Sve]" allUniqueName="[Podvrste osiguranja].[Šifra podvrste osiguranja].[Sve]" dimensionUniqueName="[Podvrste osiguranja]" displayFolder="Atributi" count="2" unbalanced="0"/>
    <cacheHierarchy uniqueName="[Podvrste osiguranja].[Šifra rizika]" caption="Šifra rizika" attribute="1" defaultMemberUniqueName="[Podvrste osiguranja].[Šifra rizika].[Sve]" allUniqueName="[Podvrste osiguranja].[Šifra rizika].[Sve]" dimensionUniqueName="[Podvrste osiguranja]" displayFolder="Atributi" count="2" unbalanced="0"/>
    <cacheHierarchy uniqueName="[Podvrste osiguranja].[Šifra vrste osiguranja]" caption="Šifra vrste osiguranja" attribute="1" defaultMemberUniqueName="[Podvrste osiguranja].[Šifra vrste osiguranja].[Sve]" allUniqueName="[Podvrste osiguranja].[Šifra vrste osiguranja].[Sve]" dimensionUniqueName="[Podvrste osiguranja]" displayFolder="Atributi" count="2" unbalanced="0"/>
    <cacheHierarchy uniqueName="[Podvrste osiguranja].[Vrsta osiguranja]" caption="Vrsta osiguranja" attribute="1" defaultMemberUniqueName="[Podvrste osiguranja].[Vrsta osiguranja].[Sve]" allUniqueName="[Podvrste osiguranja].[Vrsta osiguranja].[Sve]" dimensionUniqueName="[Podvrste osiguranja]" displayFolder="Atributi" count="2" unbalanced="0"/>
    <cacheHierarchy uniqueName="[Premijske grupe statistike].[Premijska grupa]" caption="Premijska grupa" attribute="1" keyAttribute="1" defaultMemberUniqueName="[Premijske grupe statistike].[Premijska grupa].[Sve]" allUniqueName="[Premijske grupe statistike].[Premijska grupa].[Sve]" dimensionUniqueName="[Premijske grupe statistike]" displayFolder="" count="2" unbalanced="0"/>
    <cacheHierarchy uniqueName="[Prodajni kanali].[Prodajni kanal]" caption="Prodajni kanal" attribute="1" keyAttribute="1" defaultMemberUniqueName="[Prodajni kanali].[Prodajni kanal].[Svi]" allUniqueName="[Prodajni kanali].[Prodajni kanal].[Svi]" dimensionUniqueName="[Prodajni kanali]" displayFolder="" count="2" unbalanced="0"/>
    <cacheHierarchy uniqueName="[RDG Pozicija].[Opis RDG pozicije]" caption="Opis RDG pozicije" attribute="1" defaultMemberUniqueName="[RDG Pozicija].[Opis RDG pozicije].[Sve]" allUniqueName="[RDG Pozicija].[Opis RDG pozicije].[Sve]" dimensionUniqueName="[RDG Pozicija]" displayFolder="" count="2" unbalanced="0"/>
    <cacheHierarchy uniqueName="[RDG Pozicija].[Oznaka RDG pozicije]" caption="Oznaka RDG pozicije" attribute="1" defaultMemberUniqueName="[RDG Pozicija].[Oznaka RDG pozicije].[Sve]" allUniqueName="[RDG Pozicija].[Oznaka RDG pozicije].[Sve]" dimensionUniqueName="[RDG Pozicija]" displayFolder="" count="2" unbalanced="0"/>
    <cacheHierarchy uniqueName="[RDG Pozicija].[RDG pozicija]" caption="RDG pozicija" attribute="1" keyAttribute="1" defaultMemberUniqueName="[RDG Pozicija].[RDG pozicija].[Sve]" allUniqueName="[RDG Pozicija].[RDG pozicija].[Sve]" dimensionUniqueName="[RDG Pozicija]" displayFolder="" count="2" unbalanced="0"/>
    <cacheHierarchy uniqueName="[Rizici].[hSkupineRiziciOsiguranja]" caption="hSkupineRiziciOsiguranja" defaultMemberUniqueName="[Rizici].[hSkupineRiziciOsiguranja].[Sve]" allUniqueName="[Rizici].[hSkupineRiziciOsiguranja].[Sve]" dimensionUniqueName="[Rizici]" displayFolder="" count="4" unbalanced="0"/>
    <cacheHierarchy uniqueName="[Rizici].[Rizik]" caption="Rizik" attribute="1" keyAttribute="1" defaultMemberUniqueName="[Rizici].[Rizik].[Sve]" allUniqueName="[Rizici].[Rizik].[Sve]" dimensionUniqueName="[Rizici]" displayFolder="" count="2" unbalanced="0"/>
    <cacheHierarchy uniqueName="[Rizici].[Skupina osiguranja]" caption="Skupina osiguranja" attribute="1" defaultMemberUniqueName="[Rizici].[Skupina osiguranja].[Sve]" allUniqueName="[Rizici].[Skupina osiguranja].[Sve]" dimensionUniqueName="[Rizici]" displayFolder="" count="2" unbalanced="0"/>
    <cacheHierarchy uniqueName="[Rizici].[Šifra rizika]" caption="Šifra rizika" attribute="1" defaultMemberUniqueName="[Rizici].[Šifra rizika].[Sve]" allUniqueName="[Rizici].[Šifra rizika].[Sve]" dimensionUniqueName="[Rizici]" displayFolder="" count="2" unbalanced="0"/>
    <cacheHierarchy uniqueName="[Rizici].[Šifra vrste osiguranja]" caption="Šifra vrste osiguranja" attribute="1" defaultMemberUniqueName="[Rizici].[Šifra vrste osiguranja].[Sve]" allUniqueName="[Rizici].[Šifra vrste osiguranja].[Sve]" dimensionUniqueName="[Rizici]" displayFolder="" count="2" unbalanced="0"/>
    <cacheHierarchy uniqueName="[Rizici].[Vrsta osiguranja]" caption="Vrsta osiguranja" attribute="1" defaultMemberUniqueName="[Rizici].[Vrsta osiguranja].[Sve]" allUniqueName="[Rizici].[Vrsta osiguranja].[Sve]" dimensionUniqueName="[Rizici]" displayFolder="" count="2" unbalanced="0"/>
    <cacheHierarchy uniqueName="[Skupine osiguranja].[Skupina osiguranja]" caption="Skupina osiguranja" attribute="1" keyAttribute="1" defaultMemberUniqueName="[Skupine osiguranja].[Skupina osiguranja].[Sve]" allUniqueName="[Skupine osiguranja].[Skupina osiguranja].[Sve]" dimensionUniqueName="[Skupine osiguranja]" displayFolder="" count="2" unbalanced="0"/>
    <cacheHierarchy uniqueName="[Stručne spreme].[Stručna sprema]" caption="Stručna sprema" attribute="1" keyAttribute="1" defaultMemberUniqueName="[Stručne spreme].[Stručna sprema].[Sve]" allUniqueName="[Stručne spreme].[Stručna sprema].[Sve]" dimensionUniqueName="[Stručne spreme]" displayFolder="" count="2" unbalanced="0"/>
    <cacheHierarchy uniqueName="[Učestalost podataka].[Redni broj učestalosti podatka]" caption="Redni broj učestalosti podatka" attribute="1" defaultMemberUniqueName="[Učestalost podataka].[Redni broj učestalosti podatka].[All]" allUniqueName="[Učestalost podataka].[Redni broj učestalosti podatka].[All]" dimensionUniqueName="[Učestalost podataka]" displayFolder="" count="2" unbalanced="0"/>
    <cacheHierarchy uniqueName="[Učestalost podataka].[Šifra učestalosti podatka]" caption="Šifra učestalosti podatka" attribute="1" defaultMemberUniqueName="[Učestalost podataka].[Šifra učestalosti podatka].[All]" allUniqueName="[Učestalost podataka].[Šifra učestalosti podatka].[All]" dimensionUniqueName="[Učestalost podataka]" displayFolder="" count="2" unbalanced="0"/>
    <cacheHierarchy uniqueName="[Učestalost podataka].[Učestalost podatka]" caption="Učestalost podatka" attribute="1" keyAttribute="1" defaultMemberUniqueName="[Učestalost podataka].[Učestalost podatka].[All]" allUniqueName="[Učestalost podataka].[Učestalost podatka].[All]" dimensionUniqueName="[Učestalost podataka]" displayFolder="" count="2" unbalanced="0">
      <fieldsUsage count="2">
        <fieldUsage x="-1"/>
        <fieldUsage x="0"/>
      </fieldsUsage>
    </cacheHierarchy>
    <cacheHierarchy uniqueName="[Verificirano].[HUOS]" caption="Verificirano.HUOS" attribute="1" defaultMemberUniqueName="[Verificirano].[HUOS].[Svi]" allUniqueName="[Verificirano].[HUOS].[Svi]" dimensionUniqueName="[Verificirano]" displayFolder="" count="2" unbalanced="0"/>
    <cacheHierarchy uniqueName="[Verificirano].[Opis2]" caption="Verificirano.Opis2" attribute="1" defaultMemberUniqueName="[Verificirano].[Opis2].[Svi]" allUniqueName="[Verificirano].[Opis2].[Svi]" dimensionUniqueName="[Verificirano]" displayFolder="" count="2" unbalanced="0"/>
    <cacheHierarchy uniqueName="[Verificirano].[Pomoćna]" caption="Verificirano.Pomoćna" attribute="1" keyAttribute="1" defaultMemberUniqueName="[Verificirano].[Pomoćna].[Svi]" allUniqueName="[Verificirano].[Pomoćna].[Svi]" dimensionUniqueName="[Verificirano]" displayFolder="" count="2" unbalanced="0"/>
    <cacheHierarchy uniqueName="[Vrste osiguranja].[hSkupineVrsteOsiguranja]" caption="hSkupineVrsteOsiguranja" defaultMemberUniqueName="[Vrste osiguranja].[hSkupineVrsteOsiguranja].[Sve]" allUniqueName="[Vrste osiguranja].[hSkupineVrsteOsiguranja].[Sve]" dimensionUniqueName="[Vrste osiguranja]" displayFolder="" count="3" unbalanced="0"/>
    <cacheHierarchy uniqueName="[Vrste osiguranja].[Skupina osiguranja]" caption="Skupina osiguranja" attribute="1" defaultMemberUniqueName="[Vrste osiguranja].[Skupina osiguranja].[Sve]" allUniqueName="[Vrste osiguranja].[Skupina osiguranja].[Sve]" dimensionUniqueName="[Vrste osiguranja]" displayFolder="" count="2" unbalanced="0"/>
    <cacheHierarchy uniqueName="[Vrste osiguranja].[Šifra vrste osiguranja]" caption="Šifra vrste osiguranja" attribute="1" defaultMemberUniqueName="[Vrste osiguranja].[Šifra vrste osiguranja].[Sve]" allUniqueName="[Vrste osiguranja].[Šifra vrste osiguranja].[Sve]" dimensionUniqueName="[Vrste osiguranja]" displayFolder="" count="2" unbalanced="0"/>
    <cacheHierarchy uniqueName="[Vrste osiguranja].[Vrsta osiguranja]" caption="Vrsta osiguranja" attribute="1" keyAttribute="1" defaultMemberUniqueName="[Vrste osiguranja].[Vrsta osiguranja].[Sve]" allUniqueName="[Vrste osiguranja].[Vrsta osiguranja].[Sve]" dimensionUniqueName="[Vrste osiguranja]" displayFolder="" count="2" unbalanced="0"/>
    <cacheHierarchy uniqueName="[Vrste osigurateljno tehničkih pričuva].[Vrste osigurateljno tehničke pričuve]" caption="Vrste osigurateljno tehničke pričuve" attribute="1" keyAttribute="1" defaultMemberUniqueName="[Vrste osigurateljno tehničkih pričuva].[Vrste osigurateljno tehničke pričuve].[Sve]" allUniqueName="[Vrste osigurateljno tehničkih pričuva].[Vrste osigurateljno tehničke pričuve].[Sve]" dimensionUniqueName="[Vrste osigurateljno tehničkih pričuva]" displayFolder="" count="2" unbalanced="0"/>
    <cacheHierarchy uniqueName="[Measures].[Iznos bilance]" caption="Iznos bilance" measure="1" displayFolder="" measureGroup="Bilanca" count="0"/>
    <cacheHierarchy uniqueName="[Measures].[Broj osiguranja- rizici]" caption="Broj osiguranja- rizici" measure="1" displayFolder="" measureGroup="Rizici" count="0"/>
    <cacheHierarchy uniqueName="[Measures].[Zaračunata bruto premija osiguranja- rizici]" caption="Zaračunata bruto premija osiguranja- rizici" measure="1" displayFolder="" measureGroup="Rizici" count="0"/>
    <cacheHierarchy uniqueName="[Measures].[Stanje prijenosne premije bruto 0101- rizici]" caption="Stanje prijenosne premije bruto 0101- rizici" measure="1" displayFolder="" measureGroup="Rizici" count="0"/>
    <cacheHierarchy uniqueName="[Measures].[Stanje prijenosne premije bruto 3112- rizici]" caption="Stanje prijenosne premije bruto 3112- rizici" measure="1" displayFolder="" measureGroup="Rizici" count="0"/>
    <cacheHierarchy uniqueName="[Measures].[Broj šteta - rizici]" caption="Broj šteta - rizici" measure="1" displayFolder="" measureGroup="Rizici" count="0"/>
    <cacheHierarchy uniqueName="[Measures].[Likvidirane štete bruto - rizici]" caption="Likvidirane štete bruto - rizici" measure="1" displayFolder="" measureGroup="Rizici" count="0"/>
    <cacheHierarchy uniqueName="[Measures].[Stanje pričuva šteta bruto 0101 - rizici]" caption="Stanje pričuva šteta bruto 0101 - rizici" measure="1" displayFolder="" measureGroup="Rizici" count="0"/>
    <cacheHierarchy uniqueName="[Measures].[Stanje pričuva šteta bruto 3112 - rizici]" caption="Stanje pričuva šteta bruto 3112 - rizici" measure="1" displayFolder="" measureGroup="Rizici" count="0"/>
    <cacheHierarchy uniqueName="[Measures].[Broj šteta u pričuvi 0101 - rizici]" caption="Broj šteta u pričuvi 0101 - rizici" measure="1" displayFolder="" measureGroup="Rizici" count="0"/>
    <cacheHierarchy uniqueName="[Measures].[Zaračunata bruto premija osiguranja- rizici EUR]" caption="Zaračunata bruto premija osiguranja- rizici EUR" measure="1" displayFolder="Rizici EUR" measureGroup="Rizici" count="0"/>
    <cacheHierarchy uniqueName="[Measures].[Stanje prijenosne premije bruto 0101- rizici EUR]" caption="Stanje prijenosne premije bruto 0101- rizici EUR" measure="1" displayFolder="Rizici EUR" measureGroup="Rizici" count="0"/>
    <cacheHierarchy uniqueName="[Measures].[Stanje prijenosne premije bruto 3112- rizici EUR]" caption="Stanje prijenosne premije bruto 3112- rizici EUR" measure="1" displayFolder="Rizici EUR" measureGroup="Rizici" count="0"/>
    <cacheHierarchy uniqueName="[Measures].[Likvidirane štete bruto - rizici EUR]" caption="Likvidirane štete bruto - rizici EUR" measure="1" displayFolder="Rizici EUR" measureGroup="Rizici" count="0"/>
    <cacheHierarchy uniqueName="[Measures].[Stanje pričuva šteta bruto 0101 - rizici EUR]" caption="Stanje pričuva šteta bruto 0101 - rizici EUR" measure="1" displayFolder="Rizici EUR" measureGroup="Rizici" count="0"/>
    <cacheHierarchy uniqueName="[Measures].[Stanje pričuva šteta bruto 3112 - rizici EUR]" caption="Stanje pričuva šteta bruto 3112 - rizici EUR" measure="1" displayFolder="Rizici EUR" measureGroup="Rizici" count="0"/>
    <cacheHierarchy uniqueName="[Measures].[2_Premije predane u reosiguranje]" caption="2_Premije predane u reosiguranje" measure="1" displayFolder="" measureGroup="Statistika po vrstama osiguranja" count="0"/>
    <cacheHierarchy uniqueName="[Measures].[2_Promjena bruto pričuva prijenosnih premija PM]" caption="2_Promjena bruto pričuva prijenosnih premija PM" measure="1" displayFolder="" measureGroup="Statistika po vrstama osiguranja" count="0"/>
    <cacheHierarchy uniqueName="[Measures].[2_Promjena pričuva prijenosnih premija udio reosiguranja PM]" caption="2_Promjena pričuva prijenosnih premija udio reosiguranja PM" measure="1" displayFolder="" measureGroup="Statistika po vrstama osiguranja" count="0"/>
    <cacheHierarchy uniqueName="[Measures].[3_Struktura premije tehnička]" caption="3_Struktura premije tehnička" measure="1" displayFolder="" measureGroup="Statistika po vrstama osiguranja" count="0"/>
    <cacheHierarchy uniqueName="[Measures].[3_Struktura premije preventiva]" caption="3_Struktura premije preventiva" measure="1" displayFolder="" measureGroup="Statistika po vrstama osiguranja" count="0"/>
    <cacheHierarchy uniqueName="[Measures].[3_Struktura premije djelatnost]" caption="3_Struktura premije djelatnost" measure="1" displayFolder="" measureGroup="Statistika po vrstama osiguranja" count="0"/>
    <cacheHierarchy uniqueName="[Measures].[5_Udio reosiguranja u štetama]" caption="5_Udio reosiguranja u štetama" measure="1" displayFolder="" measureGroup="Statistika po vrstama osiguranja" count="0"/>
    <cacheHierarchy uniqueName="[Measures].[5_Promjena pričuva za štete udio reosiguranja PM]" caption="5_Promjena pričuva za štete udio reosiguranja PM" measure="1" displayFolder="" measureGroup="Statistika po vrstama osiguranja" count="0"/>
    <cacheHierarchy uniqueName="[Measures].[5_Promjena bruto pričuva za štete PM]" caption="5_Promjena bruto pričuva za štete PM" measure="1" displayFolder="" measureGroup="Statistika po vrstama osiguranja" count="0"/>
    <cacheHierarchy uniqueName="[Measures].[6_Broj šteta prijavljenih u godini]" caption="6_Broj šteta prijavljenih u godini" measure="1" displayFolder="" measureGroup="Statistika po vrstama osiguranja" count="0"/>
    <cacheHierarchy uniqueName="[Measures].[6_Broj šteta riješenih u godini otklonjene]" caption="6_Broj šteta riješenih u godini otklonjene" measure="1" displayFolder="" measureGroup="Statistika po vrstama osiguranja" count="0"/>
    <cacheHierarchy uniqueName="[Measures].[6_Broj šteta u sudskom Sporu]" caption="6_Broj šteta u sudskom Sporu" measure="1" displayFolder="" measureGroup="Statistika po vrstama osiguranja" count="0"/>
    <cacheHierarchy uniqueName="[Measures].[6_Broj šteta u arbitražnom postupku]" caption="6_Broj šteta u arbitražnom postupku" measure="1" displayFolder="" measureGroup="Statistika po vrstama osiguranja" count="0"/>
    <cacheHierarchy uniqueName="[Measures].[6_Broj nereješenih šteta na 0101]" caption="6_Broj nereješenih šteta na 0101" measure="1" displayFolder="" measureGroup="Statistika po vrstama osiguranja" count="0"/>
    <cacheHierarchy uniqueName="[Measures].[7_Stanje pričuva preijnosna premija bruto]" caption="7_Stanje pričuva preijnosna premija bruto" measure="1" displayFolder="" measureGroup="Statistika po vrstama osiguranja" count="0"/>
    <cacheHierarchy uniqueName="[Measures].[7_Stanje pričuva udio reosiguranja]" caption="7_Stanje pričuva udio reosiguranja" measure="1" displayFolder="" measureGroup="Statistika po vrstama osiguranja" count="0"/>
    <cacheHierarchy uniqueName="[Measures].[81_Pričuve za prijavljene štete bruto]" caption="81_Pričuve za prijavljene štete bruto" measure="1" displayFolder="" measureGroup="Statistika po vrstama osiguranja" count="0"/>
    <cacheHierarchy uniqueName="[Measures].[81_Pričuve za nastale a neprijavljene štete bruto]" caption="81_Pričuve za nastale a neprijavljene štete bruto" measure="1" displayFolder="" measureGroup="Statistika po vrstama osiguranja" count="0"/>
    <cacheHierarchy uniqueName="[Measures].[81_Pričuve za rente bruto]" caption="81_Pričuve za rente bruto" measure="1" displayFolder="" measureGroup="Statistika po vrstama osiguranja" count="0"/>
    <cacheHierarchy uniqueName="[Measures].[81_Pričuve za troškove obrade šteta bruto]" caption="81_Pričuve za troškove obrade šteta bruto" measure="1" displayFolder="" measureGroup="Statistika po vrstama osiguranja" count="0"/>
    <cacheHierarchy uniqueName="[Measures].[81_Udio reosiguranja u pričuvi šteta]" caption="81_Udio reosiguranja u pričuvi šteta" measure="1" displayFolder="" measureGroup="Statistika po vrstama osiguranja" count="0"/>
    <cacheHierarchy uniqueName="[Measures].[9_Pričuve za bonuse i popuste bruto]" caption="9_Pričuve za bonuse i popuste bruto" measure="1" displayFolder="" measureGroup="Statistika po vrstama osiguranja" count="0"/>
    <cacheHierarchy uniqueName="[Measures].[9_Pričuve udio reosiguranja]" caption="9_Pričuve udio reosiguranja" measure="1" displayFolder="" measureGroup="Statistika po vrstama osiguranja" count="0"/>
    <cacheHierarchy uniqueName="[Measures].[10_Pričuve za izravnavanje kolebanje šteta]" caption="10_Pričuve za izravnavanje kolebanje šteta" measure="1" displayFolder="" measureGroup="Statistika po vrstama osiguranja" count="0"/>
    <cacheHierarchy uniqueName="[Measures].[11_Ostale osigurateljno tehničke pričuve bruto]" caption="11_Ostale osigurateljno tehničke pričuve bruto" measure="1" displayFolder="" measureGroup="Statistika po vrstama osiguranja" count="0"/>
    <cacheHierarchy uniqueName="[Measures].[11_Ostale osigurateljno tehničke pričuve udio reosiguranja]" caption="11_Ostale osigurateljno tehničke pričuve udio reosiguranja" measure="1" displayFolder="" measureGroup="Statistika po vrstama osiguranja" count="0"/>
    <cacheHierarchy uniqueName="[Measures].[15_Troškovi uprave amortizacija bez građevinskih objekata]" caption="15_Troškovi uprave amortizacija bez građevinskih objekata" measure="1" displayFolder="" measureGroup="Statistika po vrstama osiguranja" count="0"/>
    <cacheHierarchy uniqueName="[Measures].[15_Troškovi uprave plaće porezi i doprinosi]" caption="15_Troškovi uprave plaće porezi i doprinosi" measure="1" displayFolder="" measureGroup="Statistika po vrstama osiguranja" count="0"/>
    <cacheHierarchy uniqueName="[Measures].[15_Troškovi uprave ostali troškovi]" caption="15_Troškovi uprave ostali troškovi" measure="1" displayFolder="" measureGroup="Statistika po vrstama osiguranja" count="0"/>
    <cacheHierarchy uniqueName="[Measures].[15_Provizija od reosiguratelja i udio u dobiti]" caption="15_Provizija od reosiguratelja i udio u dobiti" measure="1" displayFolder="" measureGroup="Statistika po vrstama osiguranja" count="0"/>
    <cacheHierarchy uniqueName="[Measures].[16_Troškovi pribave provizija]" caption="16_Troškovi pribave provizija" measure="1" displayFolder="" measureGroup="Statistika po vrstama osiguranja" count="0"/>
    <cacheHierarchy uniqueName="[Measures].[16_Troškovi pribave ostali]" caption="16_Troškovi pribave ostali" measure="1" displayFolder="" measureGroup="Statistika po vrstama osiguranja" count="0"/>
    <cacheHierarchy uniqueName="[Measures].[16_Promjena razgraničenih troškova pribave PM]" caption="16_Promjena razgraničenih troškova pribave PM" measure="1" displayFolder="" measureGroup="Statistika po vrstama osiguranja" count="0"/>
    <cacheHierarchy uniqueName="[Measures].[16_Stanje razgraničenih troškova Pribave3112]" caption="16_Stanje razgraničenih troškova Pribave3112" measure="1" displayFolder="" measureGroup="Statistika po vrstama osiguranja" count="0"/>
    <cacheHierarchy uniqueName="[Measures].[2_Premije Predane U Reosiguranje EUR]" caption="2_Premije Predane U Reosiguranje EUR" measure="1" displayFolder="2_EUR" measureGroup="Statistika po vrstama osiguranja" count="0"/>
    <cacheHierarchy uniqueName="[Measures].[2_Promjena Bruto Pricuva Prijenosnih Premija PM EUR]" caption="2_Promjena Bruto Pricuva Prijenosnih Premija PM EUR" measure="1" displayFolder="2_EUR" measureGroup="Statistika po vrstama osiguranja" count="0"/>
    <cacheHierarchy uniqueName="[Measures].[2_Promjena Pricuva Prijenosnih Premija Udio Reosiguranja PM EUR]" caption="2_Promjena Pricuva Prijenosnih Premija Udio Reosiguranja PM EUR" measure="1" displayFolder="2_EUR" measureGroup="Statistika po vrstama osiguranja" count="0"/>
    <cacheHierarchy uniqueName="[Measures].[3_Struktura Premije Tehnicka EUR]" caption="3_Struktura Premije Tehnicka EUR" measure="1" displayFolder="3_EUR" measureGroup="Statistika po vrstama osiguranja" count="0"/>
    <cacheHierarchy uniqueName="[Measures].[3_Struktura Premije Preventiva EUR]" caption="3_Struktura Premije Preventiva EUR" measure="1" displayFolder="3_EUR" measureGroup="Statistika po vrstama osiguranja" count="0"/>
    <cacheHierarchy uniqueName="[Measures].[3_Struktura Premije Djelatnost EUR]" caption="3_Struktura Premije Djelatnost EUR" measure="1" displayFolder="3_EUR" measureGroup="Statistika po vrstama osiguranja" count="0"/>
    <cacheHierarchy uniqueName="[Measures].[13_Broj osiguranja]" caption="13_Broj osiguranja" measure="1" displayFolder="" measureGroup="Statistika po rizicima" count="0"/>
    <cacheHierarchy uniqueName="[Measures].[13_Broj osiguranih osoba aktivne police kraj obračunskoga razdoblja]" caption="13_Broj osiguranih osoba aktivne police kraj obračunskoga razdoblja" measure="1" displayFolder="" measureGroup="Statistika po rizicima" count="0"/>
    <cacheHierarchy uniqueName="[Measures].[13_Iznos ugovorenih svota godišnjih renti s dodijeljenom dobiti]" caption="13_Iznos ugovorenih svota godišnjih renti s dodijeljenom dobiti" measure="1" displayFolder="" measureGroup="Statistika po rizicima" count="0"/>
    <cacheHierarchy uniqueName="[Measures].[13_Iznos godišnjih bruto premija policiranih]" caption="13_Iznos godišnjih bruto premija policiranih" measure="1" displayFolder="" measureGroup="Statistika po rizicima" count="0"/>
    <cacheHierarchy uniqueName="[Measures].[13_Ukalkulirani troškovi u bruto premiji]" caption="13_Ukalkulirani troškovi u bruto premiji" measure="1" displayFolder="" measureGroup="Statistika po rizicima" count="0"/>
    <cacheHierarchy uniqueName="[Measures].[13_Režijski dodatak iz premije]" caption="13_Režijski dodatak iz premije" measure="1" displayFolder="" measureGroup="Statistika po rizicima" count="0"/>
    <cacheHierarchy uniqueName="[Measures].[13_Bruto iznos matematičke pričuve cilmeriziran]" caption="13_Bruto iznos matematičke pričuve cilmeriziran" measure="1" displayFolder="" measureGroup="Statistika po rizicima" count="0"/>
    <cacheHierarchy uniqueName="[Measures].[13_Udio reosiguranja]" caption="13_Udio reosiguranja" measure="1" displayFolder="" measureGroup="Statistika po rizicima" count="0"/>
    <cacheHierarchy uniqueName="[Measures].[13_Iznos priznatog neamortiziranog troška provizije zaključenja osiguranja]" caption="13_Iznos priznatog neamortiziranog troška provizije zaključenja osiguranja" measure="1" displayFolder="" measureGroup="Statistika po rizicima" count="0"/>
    <cacheHierarchy uniqueName="[Measures].[13_Bruto iznos tehničke pričuve]" caption="13_Bruto iznos tehničke pričuve" measure="1" displayFolder="" measureGroup="Statistika po rizicima" count="0"/>
    <cacheHierarchy uniqueName="[Measures].[17_Broj osiguranih osoba tijekom godine]" caption="17_Broj osiguranih osoba tijekom godine" measure="1" displayFolder="" measureGroup="Statistika po rizicima" count="0"/>
    <cacheHierarchy uniqueName="[Measures].[17_Broj osiguranih osoba aktivne police3112]" caption="17_Broj osiguranih osoba aktivne police3112" measure="1" displayFolder="" measureGroup="Statistika po rizicima" count="0"/>
    <cacheHierarchy uniqueName="[Measures].[18_Broj osiguranih osoba tijekom godine u tuzemstvu]" caption="18_Broj osiguranih osoba tijekom godine u tuzemstvu" measure="1" displayFolder="" measureGroup="Statistika po rizicima" count="0"/>
    <cacheHierarchy uniqueName="[Measures].[18_Broj osiguranih osoba tijekom godine u inozemstvu]" caption="18_Broj osiguranih osoba tijekom godine u inozemstvu" measure="1" displayFolder="" measureGroup="Statistika po rizicima" count="0"/>
    <cacheHierarchy uniqueName="[Measures].[18_Broj osiguranih osoba aktivne police 3112 u tuzemstvu]" caption="18_Broj osiguranih osoba aktivne police 3112 u tuzemstvu" measure="1" displayFolder="" measureGroup="Statistika po rizicima" count="0"/>
    <cacheHierarchy uniqueName="[Measures].[18_Broj osiguranih osoba aktivne police 3112 u inozemstvu]" caption="18_Broj osiguranih osoba aktivne police 3112 u inozemstvu" measure="1" displayFolder="" measureGroup="Statistika po rizicima" count="0"/>
    <cacheHierarchy uniqueName="[Measures].[221_Broj osiguranja]" caption="221_Broj osiguranja" measure="1" displayFolder="" measureGroup="Statistika po rizicima" count="0"/>
    <cacheHierarchy uniqueName="[Measures].[221_Broj osiguranih objekata]" caption="221_Broj osiguranih objekata" measure="1" displayFolder="" measureGroup="Statistika po rizicima" count="0"/>
    <cacheHierarchy uniqueName="[Measures].[221_Zaračunata bruto premija]" caption="221_Zaračunata bruto premija" measure="1" displayFolder="" measureGroup="Statistika po rizicima" count="0"/>
    <cacheHierarchy uniqueName="[Measures].[221_Zaračunata funkcionalna premija]" caption="221_Zaračunata funkcionalna premija" measure="1" displayFolder="" measureGroup="Statistika po rizicima" count="0"/>
    <cacheHierarchy uniqueName="[Measures].[221_Stanje prijenosne premije bruto 0101]" caption="221_Stanje prijenosne premije bruto 0101" measure="1" displayFolder="" measureGroup="Statistika po rizicima" count="0"/>
    <cacheHierarchy uniqueName="[Measures].[221_Stanje prijenosne premije bruto 3112]" caption="221_Stanje prijenosne premije bruto 3112" measure="1" displayFolder="" measureGroup="Statistika po rizicima" count="0"/>
    <cacheHierarchy uniqueName="[Measures].[222_Broj likvidiranih šteta osobe]" caption="222_Broj likvidiranih šteta osobe" measure="1" displayFolder="" measureGroup="Statistika po rizicima" count="0"/>
    <cacheHierarchy uniqueName="[Measures].[222_Broj likvidiranih šteta stvari]" caption="222_Broj likvidiranih šteta stvari" measure="1" displayFolder="" measureGroup="Statistika po rizicima" count="0"/>
    <cacheHierarchy uniqueName="[Measures].[222_Likvidirane štete iznosi bruto odšteta osobe]" caption="222_Likvidirane štete iznosi bruto odšteta osobe" measure="1" displayFolder="" measureGroup="Statistika po rizicima" count="0"/>
    <cacheHierarchy uniqueName="[Measures].[222_Likvidirane štete iznosi bruto odšteta stvari]" caption="222_Likvidirane štete iznosi bruto odšteta stvari" measure="1" displayFolder="" measureGroup="Statistika po rizicima" count="0"/>
    <cacheHierarchy uniqueName="[Measures].[222_Pričuve broj šteta na osobama]" caption="222_Pričuve broj šteta na osobama" measure="1" displayFolder="" measureGroup="Statistika po rizicima" count="0"/>
    <cacheHierarchy uniqueName="[Measures].[222_Pričuve broj šteta na stvarima]" caption="222_Pričuve broj šteta na stvarima" measure="1" displayFolder="" measureGroup="Statistika po rizicima" count="0"/>
    <cacheHierarchy uniqueName="[Measures].[222_Pričuve rezervirani bruto iznosi odšteta osobe]" caption="222_Pričuve rezervirani bruto iznosi odšteta osobe" measure="1" displayFolder="" measureGroup="Statistika po rizicima" count="0"/>
    <cacheHierarchy uniqueName="[Measures].[222_Pričuve rezervirani bruto iznosi odšteta stvari]" caption="222_Pričuve rezervirani bruto iznosi odšteta stvari" measure="1" displayFolder="" measureGroup="Statistika po rizicima" count="0"/>
    <cacheHierarchy uniqueName="[Measures].[191_Broj ugovora o osiguranju]" caption="191_Broj ugovora o osiguranju" measure="1" displayFolder="" measureGroup="Statistike po podvrstama osiguranja" count="0"/>
    <cacheHierarchy uniqueName="[Measures].[191_Zaračunata bruto premija]" caption="191_Zaračunata bruto premija" measure="1" displayFolder="" measureGroup="Statistike po podvrstama osiguranja" count="0"/>
    <cacheHierarchy uniqueName="[Measures].[191_Zaračunata funkcionalna premija]" caption="191_Zaračunata funkcionalna premija" measure="1" displayFolder="" measureGroup="Statistike po podvrstama osiguranja" count="0"/>
    <cacheHierarchy uniqueName="[Measures].[191_Stanje prijenosne premije bruto 0101]" caption="191_Stanje prijenosne premije bruto 0101" measure="1" displayFolder="" measureGroup="Statistike po podvrstama osiguranja" count="0"/>
    <cacheHierarchy uniqueName="[Measures].[191_Stanje prijenosne premije bruto 3112]" caption="191_Stanje prijenosne premije bruto 3112" measure="1" displayFolder="" measureGroup="Statistike po podvrstama osiguranja" count="0"/>
    <cacheHierarchy uniqueName="[Measures].[192_Broj likvidiranih šteta smrt]" caption="192_Broj likvidiranih šteta smrt" measure="1" displayFolder="" measureGroup="Statistike po podvrstama osiguranja" count="0"/>
    <cacheHierarchy uniqueName="[Measures].[192_Broj likvidiranih šteta trajni invaliditet]" caption="192_Broj likvidiranih šteta trajni invaliditet" measure="1" displayFolder="" measureGroup="Statistike po podvrstama osiguranja" count="0"/>
    <cacheHierarchy uniqueName="[Measures].[192_Broj likvidiranih šteta ostalo]" caption="192_Broj likvidiranih šteta ostalo" measure="1" displayFolder="" measureGroup="Statistike po podvrstama osiguranja" count="0"/>
    <cacheHierarchy uniqueName="[Measures].[192_Iznos likvidiranih šteta smrt]" caption="192_Iznos likvidiranih šteta smrt" measure="1" displayFolder="" measureGroup="Statistike po podvrstama osiguranja" count="0"/>
    <cacheHierarchy uniqueName="[Measures].[192_Iznos likvidiranih šteta trajni invaliditet]" caption="192_Iznos likvidiranih šteta trajni invaliditet" measure="1" displayFolder="" measureGroup="Statistike po podvrstama osiguranja" count="0"/>
    <cacheHierarchy uniqueName="[Measures].[192_Iznos likvidiranih šteta ostalo]" caption="192_Iznos likvidiranih šteta ostalo" measure="1" displayFolder="" measureGroup="Statistike po podvrstama osiguranja" count="0"/>
    <cacheHierarchy uniqueName="[Measures].[192_Broj pričuva šteta smrt]" caption="192_Broj pričuva šteta smrt" measure="1" displayFolder="" measureGroup="Statistike po podvrstama osiguranja" count="0"/>
    <cacheHierarchy uniqueName="[Measures].[192_Broj pričuva šteta trajni invaliditet]" caption="192_Broj pričuva šteta trajni invaliditet" measure="1" displayFolder="" measureGroup="Statistike po podvrstama osiguranja" count="0"/>
    <cacheHierarchy uniqueName="[Measures].[192_Broj pričuva šteta otalo]" caption="192_Broj pričuva šteta otalo" measure="1" displayFolder="" measureGroup="Statistike po podvrstama osiguranja" count="0"/>
    <cacheHierarchy uniqueName="[Measures].[192_Rezervirani iznos pričuva šteta bruto smrt]" caption="192_Rezervirani iznos pričuva šteta bruto smrt" measure="1" displayFolder="" measureGroup="Statistike po podvrstama osiguranja" count="0"/>
    <cacheHierarchy uniqueName="[Measures].[192_Rezervirani iznos pričuva šteta bruto trajni invaliditet]" caption="192_Rezervirani iznos pričuva šteta bruto trajni invaliditet" measure="1" displayFolder="" measureGroup="Statistike po podvrstama osiguranja" count="0"/>
    <cacheHierarchy uniqueName="[Measures].[192_Rezervirani iznos pričuva šteta bruto ostalo]" caption="192_Rezervirani iznos pričuva šteta bruto ostalo" measure="1" displayFolder="" measureGroup="Statistike po podvrstama osiguranja" count="0"/>
    <cacheHierarchy uniqueName="[Measures].[201_Broj osiguranja]" caption="201_Broj osiguranja" measure="1" displayFolder="" measureGroup="Statistike po podvrstama osiguranja" count="0"/>
    <cacheHierarchy uniqueName="[Measures].[201_Broj osiguranih osoba]" caption="201_Broj osiguranih osoba" measure="1" displayFolder="" measureGroup="Statistike po podvrstama osiguranja" count="0"/>
    <cacheHierarchy uniqueName="[Measures].[201_Zaračunata bruto premija osiguranja]" caption="201_Zaračunata bruto premija osiguranja" measure="1" displayFolder="" measureGroup="Statistike po podvrstama osiguranja" count="0"/>
    <cacheHierarchy uniqueName="[Measures].[201_Zaračunata funkcionalna premija]" caption="201_Zaračunata funkcionalna premija" measure="1" displayFolder="" measureGroup="Statistike po podvrstama osiguranja" count="0"/>
    <cacheHierarchy uniqueName="[Measures].[201_Stanje prijenosne premije bruto 0101]" caption="201_Stanje prijenosne premije bruto 0101" measure="1" displayFolder="" measureGroup="Statistike po podvrstama osiguranja" count="0"/>
    <cacheHierarchy uniqueName="[Measures].[201_Stanje prijenosne premije bruto 3112]" caption="201_Stanje prijenosne premije bruto 3112" measure="1" displayFolder="" measureGroup="Statistike po podvrstama osiguranja" count="0"/>
    <cacheHierarchy uniqueName="[Measures].[202_Broj šteta za ozljede na radu]" caption="202_Broj šteta za ozljede na radu" measure="1" displayFolder="" measureGroup="Statistike po podvrstama osiguranja" count="0"/>
    <cacheHierarchy uniqueName="[Measures].[202_Broj šteta za profesionalne bolesti]" caption="202_Broj šteta za profesionalne bolesti" measure="1" displayFolder="" measureGroup="Statistike po podvrstama osiguranja" count="0"/>
    <cacheHierarchy uniqueName="[Measures].[202_Likvidirane štete bruto za ozljede na radu]" caption="202_Likvidirane štete bruto za ozljede na radu" measure="1" displayFolder="" measureGroup="Statistike po podvrstama osiguranja" count="0"/>
    <cacheHierarchy uniqueName="[Measures].[202_Likvidirane štete bruto za profesionalne bolesti]" caption="202_Likvidirane štete bruto za profesionalne bolesti" measure="1" displayFolder="" measureGroup="Statistike po podvrstama osiguranja" count="0"/>
    <cacheHierarchy uniqueName="[Measures].[202_Broj šteta u Pričuvi za ozljede na radu i profesionalne bolesti 0101]" caption="202_Broj šteta u Pričuvi za ozljede na radu i profesionalne bolesti 0101" measure="1" displayFolder="" measureGroup="Statistike po podvrstama osiguranja" count="0"/>
    <cacheHierarchy uniqueName="[Measures].[202_Broj šteta u Pričuvi za ozljede na radu i profesionalne bolesti 3112]" caption="202_Broj šteta u Pričuvi za ozljede na radu i profesionalne bolesti 3112" measure="1" displayFolder="" measureGroup="Statistike po podvrstama osiguranja" count="0"/>
    <cacheHierarchy uniqueName="[Measures].[202_Štete u pričuvi za ozljede na radu i profesionalne bolesti bruto 0101]" caption="202_Štete u pričuvi za ozljede na radu i profesionalne bolesti bruto 0101" measure="1" displayFolder="" measureGroup="Statistike po podvrstama osiguranja" count="0"/>
    <cacheHierarchy uniqueName="[Measures].[202_Štete u pričuvi za ozljede na radu i profesionalne bolesti bruto 3112]" caption="202_Štete u pričuvi za ozljede na radu i profesionalne bolesti bruto 3112" measure="1" displayFolder="" measureGroup="Statistike po podvrstama osiguranja" count="0"/>
    <cacheHierarchy uniqueName="[Measures].[211_Broj osiguranja]" caption="211_Broj osiguranja" measure="1" displayFolder="" measureGroup="Statistike po premijskim grupama" count="0"/>
    <cacheHierarchy uniqueName="[Measures].[211_Zaračunata bruto premija]" caption="211_Zaračunata bruto premija" measure="1" displayFolder="" measureGroup="Statistike po premijskim grupama" count="0"/>
    <cacheHierarchy uniqueName="[Measures].[211_Zaračunata funkcionalna premija]" caption="211_Zaračunata funkcionalna premija" measure="1" displayFolder="" measureGroup="Statistike po premijskim grupama" count="0"/>
    <cacheHierarchy uniqueName="[Measures].[211_Stanje prijenosnih premija bruto 0101]" caption="211_Stanje prijenosnih premija bruto 0101" measure="1" displayFolder="" measureGroup="Statistike po premijskim grupama" count="0"/>
    <cacheHierarchy uniqueName="[Measures].[211_Stanje prijenosnih premija bruto 3112]" caption="211_Stanje prijenosnih premija bruto 3112" measure="1" displayFolder="" measureGroup="Statistike po premijskim grupama" count="0"/>
    <cacheHierarchy uniqueName="[Measures].[212_Broj likvidiranih šteta osobe]" caption="212_Broj likvidiranih šteta osobe" measure="1" displayFolder="" measureGroup="Statistike po premijskim grupama" count="0"/>
    <cacheHierarchy uniqueName="[Measures].[212_Broj likvidiranih šteta stvari]" caption="212_Broj likvidiranih šteta stvari" measure="1" displayFolder="" measureGroup="Statistike po premijskim grupama" count="0"/>
    <cacheHierarchy uniqueName="[Measures].[212_Likvidirane šete bruto iznos odštete osobe]" caption="212_Likvidirane šete bruto iznos odštete osobe" measure="1" displayFolder="" measureGroup="Statistike po premijskim grupama" count="0"/>
    <cacheHierarchy uniqueName="[Measures].[212_Likvidirane šete bruto iznos odštete stvari]" caption="212_Likvidirane šete bruto iznos odštete stvari" measure="1" displayFolder="" measureGroup="Statistike po premijskim grupama" count="0"/>
    <cacheHierarchy uniqueName="[Measures].[212_Pričuva 3112  broj šteta na osobama]" caption="212_Pričuva 3112  broj šteta na osobama" measure="1" displayFolder="" measureGroup="Statistike po premijskim grupama" count="0"/>
    <cacheHierarchy uniqueName="[Measures].[212_Pričuva 3112  broj šteta na stvarima]" caption="212_Pričuva 3112  broj šteta na stvarima" measure="1" displayFolder="" measureGroup="Statistike po premijskim grupama" count="0"/>
    <cacheHierarchy uniqueName="[Measures].[212_Pričuva 3112 rezervirani bruto iznosi odšteta osobe]" caption="212_Pričuva 3112 rezervirani bruto iznosi odšteta osobe" measure="1" displayFolder="" measureGroup="Statistike po premijskim grupama" count="0"/>
    <cacheHierarchy uniqueName="[Measures].[212_Pričuva 3112 rezervirani bruto iznosi odšteta stvari]" caption="212_Pričuva 3112 rezervirani bruto iznosi odšteta stvari" measure="1" displayFolder="" measureGroup="Statistike po premijskim grupama" count="0"/>
    <cacheHierarchy uniqueName="[Measures].[12_Ostale osigurateljno tehničke pričuve bruto]" caption="12_Ostale osigurateljno tehničke pričuve bruto" measure="1" displayFolder="" measureGroup="Ostale osigurateljno tehničke pričuve" count="0"/>
    <cacheHierarchy uniqueName="[Measures].[12_Ostale osigurateljno tehničke pričuve udio reosiguranja]" caption="12_Ostale osigurateljno tehničke pričuve udio reosiguranja" measure="1" displayFolder="" measureGroup="Ostale osigurateljno tehničke pričuve" count="0"/>
    <cacheHierarchy uniqueName="[Measures].[14_Prijenosna premija neto od reosiguranja]" caption="14_Prijenosna premija neto od reosiguranja" measure="1" displayFolder="" measureGroup="Obračun učinka osigurateljno tehničkih pričuva" count="0"/>
    <cacheHierarchy uniqueName="[Measures].[14_Pričuve šteta neto od reosiguranja]" caption="14_Pričuve šteta neto od reosiguranja" measure="1" displayFolder="" measureGroup="Obračun učinka osigurateljno tehničkih pričuva" count="0"/>
    <cacheHierarchy uniqueName="[Measures].[14_Pričuve za bonuse i popuste neto od reosiguranja]" caption="14_Pričuve za bonuse i popuste neto od reosiguranja" measure="1" displayFolder="" measureGroup="Obračun učinka osigurateljno tehničkih pričuva" count="0"/>
    <cacheHierarchy uniqueName="[Measures].[14_Matematičke pricuve neto od reosiguranj]" caption="14_Matematičke pricuve neto od reosiguranj" measure="1" displayFolder="" measureGroup="Obračun učinka osigurateljno tehničkih pričuva" count="0"/>
    <cacheHierarchy uniqueName="[Measures].[14_Ostale osigurateljno tehničke pricuve neto od reosiguranja]" caption="14_Ostale osigurateljno tehničke pricuve neto od reosiguranja" measure="1" displayFolder="" measureGroup="Obračun učinka osigurateljno tehničkih pričuva" count="0"/>
    <cacheHierarchy uniqueName="[Measures].[24_Bruto premija]" caption="24_Bruto premija" measure="1" displayFolder="" measureGroup="Prodajni kanali" count="0"/>
    <cacheHierarchy uniqueName="[Measures].[23_Broj uposlenih]" caption="23_Broj uposlenih" measure="1" displayFolder="" measureGroup="Struktura uposlenih" count="0"/>
    <cacheHierarchy uniqueName="[Measures].[23_Prosječan broj uposlenih]" caption="23_Prosječan broj uposlenih" measure="1" displayFolder="" measureGroup="Struktura uposlenih prosjek" count="0"/>
    <cacheHierarchy uniqueName="[Measures].[23_Broj uposlenih na pribavi osiguranja]" caption="23_Broj uposlenih na pribavi osiguranja" measure="1" displayFolder="" measureGroup="Struktura uposlenih prosjek" count="0"/>
    <cacheHierarchy uniqueName="[Measures].[23_Broj uposlenih na likvidaciji šteta]" caption="23_Broj uposlenih na likvidaciji šteta" measure="1" displayFolder="" measureGroup="Struktura uposlenih prosjek" count="0"/>
    <cacheHierarchy uniqueName="[Measures].[4_Iznos zaračunate premije životnog osiguranja]" caption="4_Iznos zaračunate premije životnog osiguranja" measure="1" displayFolder="" measureGroup="Zaračunata premija životnih osiguranja" count="0"/>
    <cacheHierarchy uniqueName="[Measures].[Dostavljeno]" caption="Dostavljeno" measure="1" displayFolder="" measureGroup="HUOS dostava podataka" count="0"/>
    <cacheHierarchy uniqueName="[Measures].[Dostavljeno  AO1]" caption="Dostavljeno  AO1" measure="1" displayFolder="" measureGroup="AO1" count="0"/>
    <cacheHierarchy uniqueName="[Measures].[Dostavljeno  AO2]" caption="Dostavljeno  AO2" measure="1" displayFolder="" measureGroup="AO2" count="0"/>
    <cacheHierarchy uniqueName="[Measures].[Dostavljeno  AO3]" caption="Dostavljeno  AO3" measure="1" displayFolder="" measureGroup="AO3" count="0"/>
    <cacheHierarchy uniqueName="[Measures].[Zaračunata bruto premija novih osiguranja s višekratnim plaćanjem premije]" caption="Zaračunata bruto premija novih osiguranja s višekratnim plaćanjem premije" measure="1" displayFolder="" measureGroup="HUOS" count="0"/>
    <cacheHierarchy uniqueName="[Measures].[Broj novih osiguranja s višekratnim plaćanjem premije]" caption="Broj novih osiguranja s višekratnim plaćanjem premije" measure="1" displayFolder="" measureGroup="HUOS" count="0"/>
    <cacheHierarchy uniqueName="[Measures].[Zaračunata bruto premija novih osiguranja s jednokratnim plaćanjem premije]" caption="Zaračunata bruto premija novih osiguranja s jednokratnim plaćanjem premije" measure="1" displayFolder="" measureGroup="HUOS" count="0"/>
    <cacheHierarchy uniqueName="[Measures].[Broj novih osiguranja s jednokratnim plaćanjem premije]" caption="Broj novih osiguranja s jednokratnim plaćanjem premije" measure="1" displayFolder="" measureGroup="HUOS" count="0"/>
    <cacheHierarchy uniqueName="[Measures].[RDG Iznos]" caption="RDG Iznos" measure="1" displayFolder="" measureGroup="RDG" count="0"/>
    <cacheHierarchy uniqueName="[Measures].[Broj osiguranja 070809]" caption="Broj osiguranja 070809" measure="1" displayFolder="Kalkulirane mjere" measureGroup="Rizici" count="0"/>
    <cacheHierarchy uniqueName="[Measures].[Zaračunata bruto premija osiguranja 070809]" caption="Zaračunata bruto premija osiguranja 070809" measure="1" displayFolder="Kalkulirane mjere" measureGroup="Rizici" count="0"/>
    <cacheHierarchy uniqueName="[Measures].[Broj osiguranja 070809 RT]" caption="Broj osiguranja 070809 RT" measure="1" displayFolder="Kalkulirane mjere" measureGroup="Rizici" count="0"/>
    <cacheHierarchy uniqueName="[Measures].[Zaračunata bruto premija osiguranja 070809 RT]" caption="Zaračunata bruto premija osiguranja 070809 RT" measure="1" displayFolder="Kalkulirane mjere" measureGroup="Rizici" count="0"/>
    <cacheHierarchy uniqueName="[Measures].[Broj osiguranja- rizici RT]" caption="Broj osiguranja- rizici RT" measure="1" displayFolder="KAlkulirane mjere" measureGroup="Rizici" count="0"/>
    <cacheHierarchy uniqueName="[Measures].[Broj šteta - rizici RT]" caption="Broj šteta - rizici RT" measure="1" displayFolder="Kalkulirane mjere" measureGroup="Rizici" count="0"/>
    <cacheHierarchy uniqueName="[Measures].[Zaračunata bruto premija osiguranja- rizici RT]" caption="Zaračunata bruto premija osiguranja- rizici RT" measure="1" displayFolder="Kalkulirane mjere" measureGroup="Rizici" count="0"/>
    <cacheHierarchy uniqueName="[Measures].[Likvidirane štete bruto - rizici RT]" caption="Likvidirane štete bruto - rizici RT" measure="1" displayFolder="Kalkulirane mjere" measureGroup="Rizici" count="0"/>
    <cacheHierarchy uniqueName="[Measures].[Broj stavki bilance]" caption="Broj stavki bilance" measure="1" displayFolder="" measureGroup="Bilanca" count="0" hidden="1"/>
  </cacheHierarchies>
  <kpis count="0"/>
  <tupleCache>
    <entries count="116">
      <n v="0" in="0">
        <tpls c="4">
          <tpl fld="5" item="0"/>
          <tpl fld="4" item="2"/>
          <tpl fld="3" item="4"/>
          <tpl hier="64" item="0"/>
        </tpls>
      </n>
      <n v="0" in="0">
        <tpls c="4">
          <tpl fld="5" item="0"/>
          <tpl fld="4" item="1"/>
          <tpl fld="2" item="0"/>
          <tpl hier="64" item="0"/>
        </tpls>
      </n>
      <n v="0" in="0">
        <tpls c="4">
          <tpl fld="5" item="0"/>
          <tpl fld="4" item="1"/>
          <tpl fld="2" item="1"/>
          <tpl hier="64" item="0"/>
        </tpls>
      </n>
      <n v="2250" in="0">
        <tpls c="4">
          <tpl fld="5" item="0"/>
          <tpl fld="4" item="1"/>
          <tpl fld="3" item="6"/>
          <tpl hier="64" item="0"/>
        </tpls>
      </n>
      <n v="41" in="0">
        <tpls c="4">
          <tpl fld="5" item="0"/>
          <tpl fld="4" item="1"/>
          <tpl fld="3" item="1"/>
          <tpl hier="64" item="0"/>
        </tpls>
      </n>
      <n v="22788" in="1">
        <tpls c="4">
          <tpl fld="5" item="0"/>
          <tpl fld="4" item="0"/>
          <tpl fld="3" item="1"/>
          <tpl hier="64" item="0"/>
        </tpls>
      </n>
      <n v="0" in="1">
        <tpls c="4">
          <tpl fld="5" item="0"/>
          <tpl fld="4" item="0"/>
          <tpl fld="3" item="4"/>
          <tpl hier="64" item="0"/>
        </tpls>
      </n>
      <n v="2933530.41" in="1">
        <tpls c="4">
          <tpl fld="5" item="0"/>
          <tpl fld="4" item="0"/>
          <tpl fld="2" item="3"/>
          <tpl hier="64" item="0"/>
        </tpls>
      </n>
      <n v="6" in="0">
        <tpls c="4">
          <tpl fld="5" item="0"/>
          <tpl fld="4" item="1"/>
          <tpl fld="3" item="9"/>
          <tpl hier="64" item="0"/>
        </tpls>
      </n>
      <n v="64728" in="0">
        <tpls c="4">
          <tpl fld="5" item="0"/>
          <tpl fld="4" item="1"/>
          <tpl fld="2" item="2"/>
          <tpl hier="64" item="0"/>
        </tpls>
      </n>
      <n v="15" in="0">
        <tpls c="4">
          <tpl fld="5" item="0"/>
          <tpl fld="4" item="1"/>
          <tpl fld="3" item="10"/>
          <tpl hier="64" item="0"/>
        </tpls>
      </n>
      <n v="23296" in="0">
        <tpls c="4">
          <tpl fld="5" item="0"/>
          <tpl fld="4" item="2"/>
          <tpl fld="1" item="0"/>
          <tpl hier="64" item="0"/>
        </tpls>
      </n>
      <n v="0" in="1">
        <tpls c="4">
          <tpl fld="5" item="0"/>
          <tpl fld="4" item="0"/>
          <tpl fld="3" item="3"/>
          <tpl hier="64" item="0"/>
        </tpls>
      </n>
      <n v="0" in="0">
        <tpls c="4">
          <tpl fld="5" item="0"/>
          <tpl fld="4" item="2"/>
          <tpl fld="3" item="3"/>
          <tpl hier="64" item="0"/>
        </tpls>
      </n>
      <n v="36601.270000000004" in="1">
        <tpls c="4">
          <tpl fld="5" item="0"/>
          <tpl fld="4" item="0"/>
          <tpl fld="3" item="0"/>
          <tpl hier="64" item="0"/>
        </tpls>
      </n>
      <n v="0" in="1">
        <tpls c="4">
          <tpl fld="5" item="0"/>
          <tpl fld="4" item="0"/>
          <tpl fld="3" item="5"/>
          <tpl hier="64" item="0"/>
        </tpls>
      </n>
      <n v="2790" in="0">
        <tpls c="4">
          <tpl fld="5" item="0"/>
          <tpl fld="4" item="1"/>
          <tpl fld="3" item="7"/>
          <tpl hier="64" item="0"/>
        </tpls>
      </n>
      <n v="5" in="0">
        <tpls c="4">
          <tpl fld="5" item="0"/>
          <tpl fld="4" item="2"/>
          <tpl fld="3" item="9"/>
          <tpl hier="64" item="0"/>
        </tpls>
      </n>
      <n v="605" in="0">
        <tpls c="4">
          <tpl fld="5" item="0"/>
          <tpl fld="4" item="1"/>
          <tpl fld="3" item="14"/>
          <tpl hier="64" item="0"/>
        </tpls>
      </n>
      <n v="344360.95" in="1">
        <tpls c="4">
          <tpl fld="5" item="0"/>
          <tpl fld="4" item="0"/>
          <tpl fld="3" item="13"/>
          <tpl hier="64" item="0"/>
        </tpls>
      </n>
      <n v="0" in="0">
        <tpls c="4">
          <tpl fld="5" item="0"/>
          <tpl fld="4" item="1"/>
          <tpl fld="3" item="2"/>
          <tpl hier="64" item="0"/>
        </tpls>
      </n>
      <n v="0" in="0">
        <tpls c="4">
          <tpl fld="5" item="0"/>
          <tpl fld="4" item="1"/>
          <tpl fld="3" item="5"/>
          <tpl hier="64" item="0"/>
        </tpls>
      </n>
      <n v="707" in="0">
        <tpls c="4">
          <tpl fld="5" item="0"/>
          <tpl fld="4" item="2"/>
          <tpl fld="2" item="4"/>
          <tpl hier="64" item="0"/>
        </tpls>
      </n>
      <n v="0" in="1">
        <tpls c="4">
          <tpl fld="5" item="0"/>
          <tpl fld="4" item="0"/>
          <tpl fld="3" item="2"/>
          <tpl hier="64" item="0"/>
        </tpls>
      </n>
      <n v="20281" in="1">
        <tpls c="4">
          <tpl fld="5" item="0"/>
          <tpl fld="4" item="0"/>
          <tpl fld="3" item="12"/>
          <tpl hier="64" item="0"/>
        </tpls>
      </n>
      <n v="2" in="0">
        <tpls c="4">
          <tpl fld="5" item="0"/>
          <tpl fld="4" item="2"/>
          <tpl fld="3" item="13"/>
          <tpl hier="64" item="0"/>
        </tpls>
      </n>
      <n v="1399" in="0">
        <tpls c="4">
          <tpl fld="5" item="0"/>
          <tpl fld="4" item="1"/>
          <tpl fld="2" item="4"/>
          <tpl hier="64" item="0"/>
        </tpls>
      </n>
      <n v="14613.109999999999" in="1">
        <tpls c="4">
          <tpl fld="5" item="0"/>
          <tpl fld="4" item="3"/>
          <tpl fld="3" item="9"/>
          <tpl hier="64" item="0"/>
        </tpls>
      </n>
      <n v="0" in="0">
        <tpls c="4">
          <tpl fld="5" item="0"/>
          <tpl fld="4" item="1"/>
          <tpl fld="3" item="3"/>
          <tpl hier="64" item="0"/>
        </tpls>
      </n>
      <n v="1041341.27" in="1">
        <tpls c="4">
          <tpl fld="5" item="0"/>
          <tpl fld="4" item="0"/>
          <tpl fld="3" item="9"/>
          <tpl hier="64" item="0"/>
        </tpls>
      </n>
      <n v="2187085.3399999994" in="1">
        <tpls c="4">
          <tpl fld="5" item="0"/>
          <tpl fld="4" item="3"/>
          <tpl fld="3" item="19"/>
          <tpl hier="64" item="0"/>
        </tpls>
      </n>
      <n v="11" in="0">
        <tpls c="4">
          <tpl fld="5" item="0"/>
          <tpl fld="4" item="2"/>
          <tpl fld="3" item="12"/>
          <tpl hier="64" item="0"/>
        </tpls>
      </n>
      <n v="0" in="1">
        <tpls c="4">
          <tpl fld="5" item="0"/>
          <tpl fld="4" item="3"/>
          <tpl fld="3" item="2"/>
          <tpl hier="64" item="0"/>
        </tpls>
      </n>
      <n v="0" in="1">
        <tpls c="4">
          <tpl fld="5" item="0"/>
          <tpl fld="4" item="3"/>
          <tpl fld="2" item="1"/>
          <tpl hier="64" item="0"/>
        </tpls>
      </n>
      <n v="0" in="0">
        <tpls c="4">
          <tpl fld="5" item="0"/>
          <tpl fld="4" item="2"/>
          <tpl fld="3" item="16"/>
          <tpl hier="64" item="0"/>
        </tpls>
      </n>
      <n v="39730" in="0">
        <tpls c="4">
          <tpl fld="5" item="0"/>
          <tpl fld="4" item="1"/>
          <tpl fld="2" item="6"/>
          <tpl hier="64" item="0"/>
        </tpls>
      </n>
      <n v="586663.81999999995" in="1">
        <tpls c="4">
          <tpl fld="5" item="0"/>
          <tpl fld="4" item="3"/>
          <tpl fld="3" item="10"/>
          <tpl hier="64" item="0"/>
        </tpls>
      </n>
      <n v="0" in="0">
        <tpls c="4">
          <tpl fld="5" item="0"/>
          <tpl fld="4" item="2"/>
          <tpl fld="3" item="5"/>
          <tpl hier="64" item="0"/>
        </tpls>
      </n>
      <n v="28849814.339999996" in="1">
        <tpls c="4">
          <tpl fld="5" item="0"/>
          <tpl fld="4" item="0"/>
          <tpl fld="3" item="19"/>
          <tpl hier="64" item="0"/>
        </tpls>
      </n>
      <n v="0" in="1">
        <tpls c="4">
          <tpl fld="5" item="0"/>
          <tpl fld="4" item="0"/>
          <tpl fld="2" item="1"/>
          <tpl hier="64" item="0"/>
        </tpls>
      </n>
      <n v="19873" in="0">
        <tpls c="4">
          <tpl fld="5" item="0"/>
          <tpl fld="4" item="2"/>
          <tpl fld="2" item="6"/>
          <tpl hier="64" item="0"/>
        </tpls>
      </n>
      <n v="0" in="1">
        <tpls c="4">
          <tpl fld="5" item="0"/>
          <tpl fld="4" item="3"/>
          <tpl fld="3" item="4"/>
          <tpl hier="64" item="0"/>
        </tpls>
      </n>
      <n v="1354583.71" in="1">
        <tpls c="4">
          <tpl fld="5" item="0"/>
          <tpl fld="4" item="0"/>
          <tpl fld="2" item="2"/>
          <tpl hier="64" item="0"/>
        </tpls>
      </n>
      <n v="21277" in="0">
        <tpls c="4">
          <tpl fld="5" item="0"/>
          <tpl fld="4" item="1"/>
          <tpl fld="3" item="0"/>
          <tpl hier="64" item="0"/>
        </tpls>
      </n>
      <n v="0" in="0">
        <tpls c="4">
          <tpl fld="5" item="0"/>
          <tpl fld="4" item="2"/>
          <tpl fld="2" item="0"/>
          <tpl hier="64" item="0"/>
        </tpls>
      </n>
      <n v="0" in="0">
        <tpls c="4">
          <tpl fld="5" item="0"/>
          <tpl fld="4" item="1"/>
          <tpl fld="3" item="13"/>
          <tpl hier="64" item="0"/>
        </tpls>
      </n>
      <n v="6047492.6299999999" in="1">
        <tpls c="4">
          <tpl fld="5" item="0"/>
          <tpl fld="4" item="0"/>
          <tpl fld="3" item="7"/>
          <tpl hier="64" item="0"/>
        </tpls>
      </n>
      <n v="107706.29000000001" in="1">
        <tpls c="4">
          <tpl fld="5" item="0"/>
          <tpl fld="4" item="0"/>
          <tpl fld="3" item="6"/>
          <tpl hier="64" item="0"/>
        </tpls>
      </n>
      <n v="2656" in="0">
        <tpls c="4">
          <tpl fld="5" item="0"/>
          <tpl fld="4" item="2"/>
          <tpl fld="3" item="15"/>
          <tpl hier="64" item="0"/>
        </tpls>
      </n>
      <n v="21" in="0">
        <tpls c="4">
          <tpl fld="5" item="0"/>
          <tpl fld="4" item="1"/>
          <tpl fld="2" item="3"/>
          <tpl hier="64" item="0"/>
        </tpls>
      </n>
      <n v="0" in="1">
        <tpls c="4">
          <tpl fld="5" item="0"/>
          <tpl fld="4" item="0"/>
          <tpl fld="2" item="0"/>
          <tpl hier="64" item="0"/>
        </tpls>
      </n>
      <n v="281045849.31" in="1">
        <tpls c="4">
          <tpl fld="5" item="0"/>
          <tpl fld="4" item="0"/>
          <tpl fld="1" item="0"/>
          <tpl hier="64" item="0"/>
        </tpls>
      </n>
      <n v="1730381.34" in="1">
        <tpls c="4">
          <tpl fld="5" item="0"/>
          <tpl fld="4" item="0"/>
          <tpl fld="3" item="11"/>
          <tpl hier="64" item="0"/>
        </tpls>
      </n>
      <n v="602" in="0">
        <tpls c="4">
          <tpl fld="5" item="0"/>
          <tpl fld="4" item="2"/>
          <tpl fld="3" item="17"/>
          <tpl hier="64" item="0"/>
        </tpls>
      </n>
      <n v="1" in="0">
        <tpls c="4">
          <tpl fld="5" item="0"/>
          <tpl fld="4" item="2"/>
          <tpl fld="3" item="1"/>
          <tpl hier="64" item="0"/>
        </tpls>
      </n>
      <n v="1547828.19" in="1">
        <tpls c="4">
          <tpl fld="5" item="0"/>
          <tpl fld="4" item="0"/>
          <tpl fld="3" item="10"/>
          <tpl hier="64" item="0"/>
        </tpls>
      </n>
      <n v="2676" in="0">
        <tpls c="4">
          <tpl fld="5" item="0"/>
          <tpl fld="4" item="2"/>
          <tpl fld="2" item="2"/>
          <tpl hier="64" item="0"/>
        </tpls>
      </n>
      <n v="7" in="0">
        <tpls c="4">
          <tpl fld="5" item="0"/>
          <tpl fld="4" item="2"/>
          <tpl fld="3" item="6"/>
          <tpl hier="64" item="0"/>
        </tpls>
      </n>
      <n v="4478196.2699999996" in="1">
        <tpls c="4">
          <tpl fld="5" item="0"/>
          <tpl fld="4" item="3"/>
          <tpl fld="2" item="2"/>
          <tpl hier="64" item="0"/>
        </tpls>
      </n>
      <n v="0" in="0">
        <tpls c="4">
          <tpl fld="5" item="0"/>
          <tpl fld="4" item="2"/>
          <tpl fld="3" item="2"/>
          <tpl hier="64" item="0"/>
        </tpls>
      </n>
      <n v="116" in="0">
        <tpls c="4">
          <tpl fld="5" item="0"/>
          <tpl fld="4" item="1"/>
          <tpl fld="3" item="12"/>
          <tpl hier="64" item="0"/>
        </tpls>
      </n>
      <n v="0" in="0">
        <tpls c="4">
          <tpl fld="5" item="0"/>
          <tpl fld="4" item="1"/>
          <tpl fld="3" item="4"/>
          <tpl hier="64" item="0"/>
        </tpls>
      </n>
      <n v="142315.41" in="1">
        <tpls c="4">
          <tpl fld="5" item="0"/>
          <tpl fld="4" item="3"/>
          <tpl fld="3" item="12"/>
          <tpl hier="64" item="0"/>
        </tpls>
      </n>
      <n v="63310.64" in="1">
        <tpls c="4">
          <tpl fld="5" item="0"/>
          <tpl fld="4" item="3"/>
          <tpl fld="3" item="1"/>
          <tpl hier="64" item="0"/>
        </tpls>
      </n>
      <n v="105919" in="0">
        <tpls c="4">
          <tpl fld="5" item="0"/>
          <tpl fld="4" item="1"/>
          <tpl hier="41" item="4294967295"/>
          <tpl hier="64" item="0"/>
        </tpls>
      </n>
      <n v="443359.37" in="1">
        <tpls c="4">
          <tpl fld="5" item="0"/>
          <tpl fld="4" item="0"/>
          <tpl fld="3" item="14"/>
          <tpl hier="64" item="0"/>
        </tpls>
      </n>
      <n v="714313.36" in="1">
        <tpls c="4">
          <tpl fld="5" item="0"/>
          <tpl fld="4" item="3"/>
          <tpl fld="3" item="16"/>
          <tpl hier="64" item="0"/>
        </tpls>
      </n>
      <n v="28003" in="0">
        <tpls c="4">
          <tpl fld="5" item="0"/>
          <tpl fld="4" item="1"/>
          <tpl fld="3" item="18"/>
          <tpl hier="64" item="0"/>
        </tpls>
      </n>
      <n v="33" in="0">
        <tpls c="4">
          <tpl fld="5" item="0"/>
          <tpl fld="4" item="2"/>
          <tpl fld="3" item="14"/>
          <tpl hier="64" item="0"/>
        </tpls>
      </n>
      <n v="0" in="0">
        <tpls c="4">
          <tpl fld="5" item="0"/>
          <tpl fld="4" item="1"/>
          <tpl fld="3" item="17"/>
          <tpl hier="64" item="0"/>
        </tpls>
      </n>
      <n v="39" in="0">
        <tpls c="4">
          <tpl fld="5" item="0"/>
          <tpl fld="4" item="2"/>
          <tpl fld="2" item="3"/>
          <tpl hier="64" item="0"/>
        </tpls>
      </n>
      <n v="0" in="1">
        <tpls c="4">
          <tpl fld="5" item="0"/>
          <tpl fld="4" item="3"/>
          <tpl fld="3" item="13"/>
          <tpl hier="64" item="0"/>
        </tpls>
      </n>
      <n v="0" in="0">
        <tpls c="4">
          <tpl fld="5" item="0"/>
          <tpl fld="4" item="2"/>
          <tpl fld="2" item="1"/>
          <tpl hier="64" item="0"/>
        </tpls>
      </n>
      <n v="0" in="1">
        <tpls c="4">
          <tpl fld="5" item="0"/>
          <tpl fld="4" item="3"/>
          <tpl fld="3" item="5"/>
          <tpl hier="64" item="0"/>
        </tpls>
      </n>
      <n v="41" in="0">
        <tpls c="4">
          <tpl fld="5" item="0"/>
          <tpl fld="4" item="1"/>
          <tpl fld="2" item="5"/>
          <tpl hier="64" item="0"/>
        </tpls>
      </n>
      <n v="26322968.970000003" in="1">
        <tpls c="4">
          <tpl fld="5" item="0"/>
          <tpl fld="4" item="0"/>
          <tpl fld="2" item="4"/>
          <tpl hier="64" item="0"/>
        </tpls>
      </n>
      <n v="1737726.1100000003" in="1">
        <tpls c="4">
          <tpl fld="5" item="0"/>
          <tpl fld="4" item="3"/>
          <tpl fld="2" item="4"/>
          <tpl hier="64" item="0"/>
        </tpls>
      </n>
      <n v="0" in="1">
        <tpls c="4">
          <tpl fld="5" item="0"/>
          <tpl fld="4" item="0"/>
          <tpl fld="3" item="8"/>
          <tpl hier="64" item="0"/>
        </tpls>
      </n>
      <n v="745" in="0">
        <tpls c="4">
          <tpl fld="5" item="0"/>
          <tpl fld="4" item="1"/>
          <tpl fld="3" item="8"/>
          <tpl hier="64" item="0"/>
        </tpls>
      </n>
      <n v="0" in="0">
        <tpls c="4">
          <tpl fld="5" item="0"/>
          <tpl fld="4" item="2"/>
          <tpl fld="3" item="8"/>
          <tpl hier="64" item="0"/>
        </tpls>
      </n>
      <n v="1144510.2400000002" in="1">
        <tpls c="4">
          <tpl fld="5" item="0"/>
          <tpl fld="4" item="3"/>
          <tpl fld="3" item="11"/>
          <tpl hier="64" item="0"/>
        </tpls>
      </n>
      <n v="794" in="0">
        <tpls c="4">
          <tpl fld="5" item="0"/>
          <tpl fld="4" item="1"/>
          <tpl fld="3" item="11"/>
          <tpl hier="64" item="0"/>
        </tpls>
      </n>
      <n v="3332155.4499999997" in="1">
        <tpls c="4">
          <tpl fld="5" item="0"/>
          <tpl fld="4" item="3"/>
          <tpl fld="3" item="15"/>
          <tpl hier="64" item="0"/>
        </tpls>
      </n>
      <n v="1317982.44" in="1">
        <tpls c="4">
          <tpl fld="5" item="0"/>
          <tpl fld="4" item="0"/>
          <tpl fld="3" item="15"/>
          <tpl hier="64" item="0"/>
        </tpls>
      </n>
      <n v="42706" in="0">
        <tpls c="4">
          <tpl fld="5" item="0"/>
          <tpl fld="4" item="1"/>
          <tpl fld="3" item="15"/>
          <tpl hier="64" item="0"/>
        </tpls>
      </n>
      <n v="382168.98" in="1">
        <tpls c="4">
          <tpl fld="5" item="0"/>
          <tpl fld="4" item="0"/>
          <tpl fld="3" item="16"/>
          <tpl hier="64" item="0"/>
        </tpls>
      </n>
      <n v="2652" in="0">
        <tpls c="4">
          <tpl fld="5" item="0"/>
          <tpl fld="4" item="1"/>
          <tpl fld="3" item="16"/>
          <tpl hier="64" item="0"/>
        </tpls>
      </n>
      <n v="63310.64" in="1">
        <tpls c="4">
          <tpl fld="5" item="0"/>
          <tpl fld="4" item="3"/>
          <tpl fld="2" item="5"/>
          <tpl hier="64" item="0"/>
        </tpls>
      </n>
      <n v="1" in="0">
        <tpls c="4">
          <tpl fld="5" item="0"/>
          <tpl fld="4" item="2"/>
          <tpl fld="2" item="5"/>
          <tpl hier="64" item="0"/>
        </tpls>
      </n>
      <n v="22788" in="1">
        <tpls c="4">
          <tpl fld="5" item="0"/>
          <tpl fld="4" item="0"/>
          <tpl fld="2" item="5"/>
          <tpl hier="64" item="0"/>
        </tpls>
      </n>
      <n v="269621.26" in="1">
        <tpls c="4">
          <tpl fld="5" item="0"/>
          <tpl fld="4" item="3"/>
          <tpl fld="3" item="8"/>
          <tpl hier="64" item="0"/>
        </tpls>
      </n>
      <n v="4100746.8400000003" in="1">
        <tpls c="4">
          <tpl fld="5" item="0"/>
          <tpl fld="4" item="3"/>
          <tpl fld="3" item="7"/>
          <tpl hier="64" item="0"/>
        </tpls>
      </n>
      <n v="0" in="1">
        <tpls c="4">
          <tpl fld="5" item="0"/>
          <tpl fld="4" item="3"/>
          <tpl fld="3" item="3"/>
          <tpl hier="64" item="0"/>
        </tpls>
      </n>
      <n v="66362344.739999995" in="1">
        <tpls c="4">
          <tpl fld="5" item="0"/>
          <tpl fld="4" item="3"/>
          <tpl fld="1" item="0"/>
          <tpl hier="64" item="0"/>
        </tpls>
      </n>
      <n v="0" in="1">
        <tpls c="4">
          <tpl fld="5" item="0"/>
          <tpl fld="4" item="3"/>
          <tpl fld="2" item="0"/>
          <tpl hier="64" item="0"/>
        </tpls>
      </n>
      <n v="601276.92999999993" in="1">
        <tpls c="4">
          <tpl fld="5" item="0"/>
          <tpl fld="4" item="3"/>
          <tpl fld="2" item="3"/>
          <tpl hier="64" item="0"/>
        </tpls>
      </n>
      <n v="876419.56" in="1">
        <tpls c="4">
          <tpl fld="5" item="0"/>
          <tpl fld="4" item="3"/>
          <tpl fld="3" item="0"/>
          <tpl hier="64" item="0"/>
        </tpls>
      </n>
      <n v="1833061.7999999998" in="1">
        <tpls c="4">
          <tpl fld="5" item="0"/>
          <tpl fld="4" item="3"/>
          <tpl fld="3" item="6"/>
          <tpl hier="64" item="0"/>
        </tpls>
      </n>
      <n v="23296" in="0">
        <tpls c="4">
          <tpl fld="5" item="0"/>
          <tpl fld="4" item="2"/>
          <tpl hier="41" item="4294967295"/>
          <tpl hier="64" item="0"/>
        </tpls>
      </n>
      <n v="281045849.30999988" in="1">
        <tpls c="4">
          <tpl fld="5" item="0"/>
          <tpl fld="4" item="0"/>
          <tpl hier="41" item="4294967295"/>
          <tpl hier="64" item="0"/>
        </tpls>
      </n>
      <n v="66362344.74000001" in="1">
        <tpls c="4">
          <tpl fld="5" item="0"/>
          <tpl fld="4" item="3"/>
          <tpl hier="41" item="4294967295"/>
          <tpl hier="64" item="0"/>
        </tpls>
      </n>
      <n v="24149228.260000002" in="1">
        <tpls c="4">
          <tpl fld="5" item="0"/>
          <tpl fld="4" item="0"/>
          <tpl fld="3" item="17"/>
          <tpl hier="64" item="0"/>
        </tpls>
      </n>
      <n v="0" in="1">
        <tpls c="4">
          <tpl fld="5" item="0"/>
          <tpl fld="4" item="3"/>
          <tpl fld="3" item="17"/>
          <tpl hier="64" item="0"/>
        </tpls>
      </n>
      <n v="50504312.040000007" in="1">
        <tpls c="4">
          <tpl fld="5" item="0"/>
          <tpl fld="4" item="3"/>
          <tpl fld="3" item="18"/>
          <tpl hier="64" item="0"/>
        </tpls>
      </n>
      <n v="8358" in="0">
        <tpls c="4">
          <tpl fld="5" item="0"/>
          <tpl fld="4" item="2"/>
          <tpl fld="3" item="18"/>
          <tpl hier="64" item="0"/>
        </tpls>
      </n>
      <n v="11348" in="0">
        <tpls c="4">
          <tpl fld="5" item="0"/>
          <tpl fld="4" item="2"/>
          <tpl fld="3" item="19"/>
          <tpl hier="64" item="0"/>
        </tpls>
      </n>
      <n v="3919" in="0">
        <tpls c="4">
          <tpl fld="5" item="0"/>
          <tpl fld="4" item="1"/>
          <tpl fld="3" item="19"/>
          <tpl hier="64" item="0"/>
        </tpls>
      </n>
      <n v="149" in="0">
        <tpls c="4">
          <tpl fld="5" item="0"/>
          <tpl fld="4" item="2"/>
          <tpl fld="3" item="7"/>
          <tpl hier="64" item="0"/>
        </tpls>
      </n>
      <n v="215004514.97999999" in="1">
        <tpls c="4">
          <tpl fld="5" item="0"/>
          <tpl fld="4" item="0"/>
          <tpl fld="3" item="18"/>
          <tpl hier="64" item="0"/>
        </tpls>
      </n>
      <n v="32" in="0">
        <tpls c="4">
          <tpl fld="5" item="0"/>
          <tpl fld="4" item="2"/>
          <tpl fld="3" item="10"/>
          <tpl hier="64" item="0"/>
        </tpls>
      </n>
      <n v="20" in="0">
        <tpls c="4">
          <tpl fld="5" item="0"/>
          <tpl fld="4" item="2"/>
          <tpl fld="3" item="0"/>
          <tpl hier="64" item="0"/>
        </tpls>
      </n>
      <n v="59481834.789999999" in="1">
        <tpls c="4">
          <tpl fld="5" item="0"/>
          <tpl fld="4" item="3"/>
          <tpl fld="2" item="6"/>
          <tpl hier="64" item="0"/>
        </tpls>
      </n>
      <n v="72" in="0">
        <tpls c="4">
          <tpl fld="5" item="0"/>
          <tpl fld="4" item="2"/>
          <tpl fld="3" item="11"/>
          <tpl hier="64" item="0"/>
        </tpls>
      </n>
      <n v="250411978.21999997" in="1">
        <tpls c="4">
          <tpl fld="5" item="0"/>
          <tpl fld="4" item="0"/>
          <tpl fld="2" item="6"/>
          <tpl hier="64" item="0"/>
        </tpls>
      </n>
      <n v="105919" in="0">
        <tpls c="4">
          <tpl fld="5" item="0"/>
          <tpl fld="4" item="1"/>
          <tpl fld="1" item="0"/>
          <tpl hier="64" item="0"/>
        </tpls>
      </n>
      <n v="593215.87" in="1">
        <tpls c="4">
          <tpl fld="5" item="0"/>
          <tpl fld="4" item="3"/>
          <tpl fld="3" item="14"/>
          <tpl hier="64" item="0"/>
        </tpls>
      </n>
    </entries>
    <sets count="1">
      <set count="2" maxRank="1" setDefinition="{[Učestalost podataka].[Učestalost podatka].&amp;[7],[Učestalost podataka].[Učestalost podatka].&amp;[8]}">
        <tpls c="1">
          <tpl fld="0" item="0"/>
        </tpls>
      </set>
    </sets>
    <queryCache count="34">
      <query mdx="[Podvrste osiguranja].[hPodvrsteOsiguranja].[Rizik].&amp;[114]">
        <tpls c="1">
          <tpl fld="3" item="0"/>
        </tpls>
      </query>
      <query mdx="[Podvrste osiguranja].[hPodvrsteOsiguranja].[Vrsta osiguranja].&amp;[24]">
        <tpls c="1">
          <tpl fld="2" item="0"/>
        </tpls>
      </query>
      <query mdx="[Podvrste osiguranja].[hPodvrsteOsiguranja].[Rizik].&amp;[115]">
        <tpls c="1">
          <tpl fld="3" item="1"/>
        </tpls>
      </query>
      <query mdx="[Podvrste osiguranja].[hPodvrsteOsiguranja].[Skupina osiguranja].&amp;[2]">
        <tpls c="1">
          <tpl fld="1" item="0"/>
        </tpls>
      </query>
      <query mdx="[Podvrste osiguranja].[hPodvrsteOsiguranja].[Vrsta osiguranja].&amp;[25]">
        <tpls c="1">
          <tpl fld="2" item="1"/>
        </tpls>
      </query>
      <query mdx="[Podvrste osiguranja].[hPodvrsteOsiguranja].[Rizik].&amp;[122]">
        <tpls c="1">
          <tpl fld="3" item="2"/>
        </tpls>
      </query>
      <query mdx="[Measures].[Zaračunata bruto premija novih osiguranja s jednokratnim plaćanjem premije]">
        <tpls c="1">
          <tpl fld="4" item="0"/>
        </tpls>
      </query>
      <query mdx="[Podvrste osiguranja].[hPodvrsteOsiguranja].[Rizik].&amp;[121]">
        <tpls c="1">
          <tpl fld="3" item="3"/>
        </tpls>
      </query>
      <query mdx="[Podvrste osiguranja].[hPodvrsteOsiguranja].[Rizik].&amp;[118]">
        <tpls c="1">
          <tpl fld="3" item="4"/>
        </tpls>
      </query>
      <query mdx="[Podvrste osiguranja].[hPodvrsteOsiguranja].[Rizik].&amp;[117]">
        <tpls c="1">
          <tpl fld="3" item="5"/>
        </tpls>
      </query>
      <query mdx="[Podvrste osiguranja].[hPodvrsteOsiguranja].[Vrsta osiguranja].&amp;[21]">
        <tpls c="1">
          <tpl fld="2" item="2"/>
        </tpls>
      </query>
      <query mdx="[Measures].[Broj novih osiguranja s višekratnim plaćanjem premije]">
        <tpls c="1">
          <tpl fld="4" item="1"/>
        </tpls>
      </query>
      <query mdx="[Podvrste osiguranja].[hPodvrsteOsiguranja].[Rizik].&amp;[100]">
        <tpls c="1">
          <tpl fld="3" item="6"/>
        </tpls>
      </query>
      <query mdx="[Podvrste osiguranja].[hPodvrsteOsiguranja].[Rizik].&amp;[98]">
        <tpls c="1">
          <tpl fld="3" item="7"/>
        </tpls>
      </query>
      <query mdx="[Measures].[Broj novih osiguranja s jednokratnim plaćanjem premije]">
        <tpls c="1">
          <tpl fld="4" item="2"/>
        </tpls>
      </query>
      <query mdx="[Godina Podatka].[Godina podatka].&amp;[2013]">
        <tpls c="1">
          <tpl fld="5" item="0"/>
        </tpls>
      </query>
      <query mdx="[Podvrste osiguranja].[hPodvrsteOsiguranja].[Vrsta osiguranja].&amp;[20]">
        <tpls c="1">
          <tpl fld="2" item="3"/>
        </tpls>
      </query>
      <query mdx="[Podvrste osiguranja].[hPodvrsteOsiguranja].[Vrsta osiguranja].&amp;[23]">
        <tpls c="1">
          <tpl fld="2" item="4"/>
        </tpls>
      </query>
      <query mdx="[Podvrste osiguranja].[hPodvrsteOsiguranja].[Rizik].&amp;[113]">
        <tpls c="1">
          <tpl fld="3" item="8"/>
        </tpls>
      </query>
      <query mdx="[Podvrste osiguranja].[hPodvrsteOsiguranja].[Rizik].&amp;[109]">
        <tpls c="1">
          <tpl fld="3" item="9"/>
        </tpls>
      </query>
      <query mdx="[Podvrste osiguranja].[hPodvrsteOsiguranja].[Rizik].&amp;[110]">
        <tpls c="1">
          <tpl fld="3" item="10"/>
        </tpls>
      </query>
      <query mdx="[Podvrste osiguranja].[hPodvrsteOsiguranja].[Rizik].&amp;[120]">
        <tpls c="1">
          <tpl fld="3" item="11"/>
        </tpls>
      </query>
      <query mdx="[Podvrste osiguranja].[hPodvrsteOsiguranja].[Rizik].&amp;[108]">
        <tpls c="1">
          <tpl fld="3" item="12"/>
        </tpls>
      </query>
      <query mdx="[Podvrste osiguranja].[hPodvrsteOsiguranja].[Rizik].&amp;[111]">
        <tpls c="1">
          <tpl fld="3" item="13"/>
        </tpls>
      </query>
      <query mdx="[Podvrste osiguranja].[hPodvrsteOsiguranja].[Rizik].&amp;[116]">
        <tpls c="1">
          <tpl fld="3" item="14"/>
        </tpls>
      </query>
      <query mdx="[Podvrste osiguranja].[hPodvrsteOsiguranja].[Rizik].&amp;[112]">
        <tpls c="1">
          <tpl fld="3" item="15"/>
        </tpls>
      </query>
      <query mdx="[Podvrste osiguranja].[hPodvrsteOsiguranja].[Rizik].&amp;[99]">
        <tpls c="1">
          <tpl fld="3" item="16"/>
        </tpls>
      </query>
      <query mdx="[Podvrste osiguranja].[hPodvrsteOsiguranja].[Vrsta osiguranja].&amp;[22]">
        <tpls c="1">
          <tpl fld="2" item="5"/>
        </tpls>
      </query>
      <query mdx="[Measures].[Zaračunata bruto premija novih osiguranja s višekratnim plaćanjem premije]">
        <tpls c="1">
          <tpl fld="4" item="3"/>
        </tpls>
      </query>
      <query mdx="[Podvrste osiguranja].[hPodvrsteOsiguranja].[Sve]">
        <tpls c="1">
          <tpl hier="41" item="4294967295"/>
        </tpls>
      </query>
      <query mdx="[Podvrste osiguranja].[hPodvrsteOsiguranja].[Rizik].&amp;[119]">
        <tpls c="1">
          <tpl fld="3" item="17"/>
        </tpls>
      </query>
      <query mdx="[Podvrste osiguranja].[hPodvrsteOsiguranja].[Rizik].&amp;[96]">
        <tpls c="1">
          <tpl fld="3" item="18"/>
        </tpls>
      </query>
      <query mdx="[Podvrste osiguranja].[hPodvrsteOsiguranja].[Rizik].&amp;[97]">
        <tpls c="1">
          <tpl fld="3" item="19"/>
        </tpls>
      </query>
      <query mdx="[Podvrste osiguranja].[hPodvrsteOsiguranja].[Vrsta osiguranja].&amp;[19]">
        <tpls c="1">
          <tpl fld="2" item="6"/>
        </tpls>
      </query>
    </queryCache>
    <serverFormats count="2">
      <serverFormat format="#,##0"/>
      <serverFormat format="#,##0.0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invalid="1" saveData="0" refreshedBy="Mihaela Premor Andrijanić" refreshedDate="42074.496139930554" backgroundQuery="1" createdVersion="3" refreshedVersion="4" minRefreshableVersion="3" recordCount="0" tupleCache="1">
  <cacheSource type="external" connectionId="3"/>
  <cacheFields count="13">
    <cacheField name="[Učestalost podataka].[Učestalost podatka].[Učestalost podatka]" caption="Učestalost podatka" numFmtId="0" hierarchy="64" level="1">
      <sharedItems count="1">
        <s v="[Učestalost podataka].[Učestalost podatka].&amp;[11]" c="M-01"/>
      </sharedItems>
    </cacheField>
    <cacheField name="[Rizici].[hSkupineRiziciOsiguranja].[Skupina osiguranja]" caption="Skupina osiguranja" numFmtId="0" hierarchy="54" level="1">
      <sharedItems count="2">
        <s v="[Rizici].[hSkupineRiziciOsiguranja].[Skupina osiguranja].&amp;[2]" c="Život"/>
        <s v="[Rizici].[hSkupineRiziciOsiguranja].[Skupina osiguranja].&amp;[1]" c="Neživot"/>
      </sharedItems>
    </cacheField>
    <cacheField name="[Rizici].[hSkupineRiziciOsiguranja].[Vrsta osiguranja]" caption="Vrsta osiguranja" numFmtId="0" hierarchy="54" level="2">
      <sharedItems count="25">
        <s v="[Rizici].[hSkupineRiziciOsiguranja].[Vrsta osiguranja].&amp;[25]" c="25 OSIGURANJE S KAPITALIZACIJOM"/>
        <s v="[Rizici].[hSkupineRiziciOsiguranja].[Vrsta osiguranja].&amp;[22]" c="22 OSIGURANJE ZA SLUČAJ VJENČANJA ILI ROĐENJA"/>
        <s v="[Rizici].[hSkupineRiziciOsiguranja].[Vrsta osiguranja].&amp;[23]" c="23 ŽIVOTNA ILI RENTNA OSIGURANJA KOD KOJIH UGOVARATELJ OSIGURANJA SNOSI RIZIK ULAGANJA"/>
        <s v="[Rizici].[hSkupineRiziciOsiguranja].[Vrsta osiguranja].&amp;[24]" c="24 TONTINE"/>
        <s v="[Rizici].[hSkupineRiziciOsiguranja].[Vrsta osiguranja].&amp;[21]" c="21 DOPUNSKA OSIGURANJA ŽIVOTNOG OSIGURANJA"/>
        <s v="[Rizici].[hSkupineRiziciOsiguranja].[Vrsta osiguranja].&amp;[1]" c="01 OSIGURANJE OD NEZGODE"/>
        <s v="[Rizici].[hSkupineRiziciOsiguranja].[Vrsta osiguranja].&amp;[10]" c="10 OSIGURANJE OD ODGOVORNOSTI ZA UPOTREBU MOTORNIH VOZILA"/>
        <s v="[Rizici].[hSkupineRiziciOsiguranja].[Vrsta osiguranja].&amp;[16]" c="16 OSIGURANJE RAZNIH FINANCIJSKIH GUBITAKA"/>
        <s v="[Rizici].[hSkupineRiziciOsiguranja].[Vrsta osiguranja].&amp;[17]" c="17 OSIGURANJE TROŠKOVA PRAVNE ZAŠTITE"/>
        <s v="[Rizici].[hSkupineRiziciOsiguranja].[Vrsta osiguranja].&amp;[3]" c="03 OSIGURANJE CESTOVNIH VOZILA - KASKO"/>
        <s v="[Rizici].[hSkupineRiziciOsiguranja].[Vrsta osiguranja].&amp;[18]" c="18 PUTNO OSIGURANJE"/>
        <s v="[Rizici].[hSkupineRiziciOsiguranja].[Vrsta osiguranja].&amp;[6]" c="06 OSIGURANJE PLOVILA"/>
        <s v="[Rizici].[hSkupineRiziciOsiguranja].[Vrsta osiguranja].&amp;[15]" c="15 OSIGURANJE JAMSTVA"/>
        <s v="[Rizici].[hSkupineRiziciOsiguranja].[Vrsta osiguranja].&amp;[7]" c="07 OSIGURANJE ROBE U PRIJEVOZU"/>
        <s v="[Rizici].[hSkupineRiziciOsiguranja].[Vrsta osiguranja].&amp;[20]" c="20 RENTNO OSIGURANJE"/>
        <s v="[Rizici].[hSkupineRiziciOsiguranja].[Vrsta osiguranja].&amp;[2]" c="02 ZDRAVSTVENO OSIGURANJE"/>
        <s v="[Rizici].[hSkupineRiziciOsiguranja].[Vrsta osiguranja].&amp;[19]" c="19 ŽIVOTNO OSIGURANJE"/>
        <s v="[Rizici].[hSkupineRiziciOsiguranja].[Vrsta osiguranja].&amp;[5]" c="05 OSIGURANJE ZRAČNIH LETJELICA - KASKO"/>
        <s v="[Rizici].[hSkupineRiziciOsiguranja].[Vrsta osiguranja].&amp;[11]" c="11 OSIGURANJE OD ODGOVORNOSTI ZA UPOTREBU ZRAČNIH LETJELICA"/>
        <s v="[Rizici].[hSkupineRiziciOsiguranja].[Vrsta osiguranja].&amp;[4]" c="04 OSIGURANJE TRAČNIH VOZILA - KASKO"/>
        <s v="[Rizici].[hSkupineRiziciOsiguranja].[Vrsta osiguranja].&amp;[8]" c="08 OSIGURANJE OD POŽARA I ELEMENTARNIH ŠTETA"/>
        <s v="[Rizici].[hSkupineRiziciOsiguranja].[Vrsta osiguranja].&amp;[12]" c="12 OSIGURANJE OD ODGOVORNOSTI ZA UPOTREBU PLOVILA"/>
        <s v="[Rizici].[hSkupineRiziciOsiguranja].[Vrsta osiguranja].&amp;[9]" c="09 OSTALA OSIGURANJA IMOVINE"/>
        <s v="[Rizici].[hSkupineRiziciOsiguranja].[Vrsta osiguranja].&amp;[13]" c="13 OSTALA OSIGURANJA OD ODGOVORNOSTI"/>
        <s v="[Rizici].[hSkupineRiziciOsiguranja].[Vrsta osiguranja].&amp;[14]" c="14 OSIGURANJE KREDITA"/>
      </sharedItems>
    </cacheField>
    <cacheField name="[Rizici].[hSkupineRiziciOsiguranja].[Rizik]" caption="Rizik" numFmtId="0" hierarchy="54" level="3">
      <sharedItems count="112">
        <s v="[Rizici].[hSkupineRiziciOsiguranja].[Rizik].&amp;[120]" c="23.99 OSTALA ŽIVOTNA OSIGURANJA KOD KOJIH OSIGURANIK NA SEBE PREUZIMA INVESTICIJSKI RIZIK"/>
        <s v="[Rizici].[hSkupineRiziciOsiguranja].[Rizik].&amp;[122]" c="25.01 OSIGURANJE S KAPITALIZACIJOM ISPLATE"/>
        <s v="[Rizici].[hSkupineRiziciOsiguranja].[Rizik].&amp;[118]" c="23.03 OSIGURANJE ZA SLUČAJ DOŽIVLJENJA KOD KOJEG OSIGURANIK NA SEBE PREUZIMA INVESTICIJSKI RIZIK"/>
        <s v="[Rizici].[hSkupineRiziciOsiguranja].[Rizik].&amp;[119]" c="23.04 ŽIVOTNO OSIGURANJE KOD KOJEG OSIGURANIK NA SEBE PREUZIMA INVESTICIJSKI RIZIK S GARANCIJOM ISPLATE"/>
        <s v="[Rizici].[hSkupineRiziciOsiguranja].[Rizik].&amp;[121]" c="24.01 TONTINE"/>
        <s v="[Rizici].[hSkupineRiziciOsiguranja].[Rizik].&amp;[115]" c="22.01 OSIGURANJE ZA SLUČAJ VJENČANJA ILI ROĐENJA"/>
        <s v="[Rizici].[hSkupineRiziciOsiguranja].[Rizik].&amp;[116]" c="23.01 OSIG. ŽIVOTA ZA SLUČAJ SMRTI I DOŽIVLJENJA KOD KOJEG OSIGURANIK NA SEBE PREUZIMA INV. RIZIK"/>
        <s v="[Rizici].[hSkupineRiziciOsiguranja].[Rizik].&amp;[117]" c="23.02 OSIGURANJE ZA SLUČAJ SMRTI KOD KOJEG OSIGURANIK NA SEBE PREUZIMA INVESTICIJSKI RIZIK"/>
        <s v="[Rizici].[hSkupineRiziciOsiguranja].[Rizik].&amp;[53]" c="11.01 OBV. OSIG. VLASNIKA ODNOSNO KORISNIKA ZRAČNIH LETJELICA OD ODG. ZA ŠTETE TREĆIM OSOBAMA"/>
        <s v="[Rizici].[hSkupineRiziciOsiguranja].[Rizik].&amp;[46]" c="09.11 OSIGURANJE USJEVA I NASADA"/>
        <s v="[Rizici].[hSkupineRiziciOsiguranja].[Rizik].&amp;[18]" c="03.99 OSTALA KASKO OSIGURANJA CESTOVNIH VOZILA"/>
        <s v="[Rizici].[hSkupineRiziciOsiguranja].[Rizik].&amp;[68]" c="13.10 OSIGURANJE OD ODGOVORNOSTI ODVJETNIKA"/>
        <s v="[Rizici].[hSkupineRiziciOsiguranja].[Rizik].&amp;[42]" c="09.07 OSIGURANJE FILMSKE DJELATNOSTI"/>
        <s v="[Rizici].[hSkupineRiziciOsiguranja].[Rizik].&amp;[54]" c="11.02 OSIG. VLASNIKA ODN. KORIS. ZRAČNIH LETJELICA OD ODG. SVIH VRSTA"/>
        <s v="[Rizici].[hSkupineRiziciOsiguranja].[Rizik].&amp;[55]" c="12.01 OSIG. OD ODG. VLASNIKA ODNOSNO KORISNIKA POMORSKIH BRODOVA"/>
        <s v="[Rizici].[hSkupineRiziciOsiguranja].[Rizik].&amp;[64]" c="13.06 OSIGURANJE GARANCIJE PRIZVOĐAČA, PRODAVAČA I DOBAVLJAČA"/>
        <s v="[Rizici].[hSkupineRiziciOsiguranja].[Rizik].&amp;[59]" c="13.01 OSIGURANJE UGOVORNE ODGOVORNOSTI IZVOĐAČA GRAĐEVINSKIH RADOVA"/>
        <s v="[Rizici].[hSkupineRiziciOsiguranja].[Rizik].&amp;[91]" c="18.01 TURISTIČKO OSIGURANJE"/>
        <s v="[Rizici].[hSkupineRiziciOsiguranja].[Rizik].&amp;[57]" c="12.03 OBVEZNO OSIG. OD ODG. VLASNIKA ODNOSNO KORISNIKA BRODICA NA MOTORNI POGON ZA ŠTETE TREĆIM OSOBAMA"/>
        <s v="[Rizici].[hSkupineRiziciOsiguranja].[Rizik].&amp;[72]" c="13.14 OSIGURANJE OD ODGOVORNOSTI VLASNIKA ODNOSNO KORISNIKA MARINE"/>
        <s v="[Rizici].[hSkupineRiziciOsiguranja].[Rizik].&amp;[40]" c="09.05 OSIGURANJE GRAĐEVINSKIH OBJEKATA U IZGRADNJI"/>
        <s v="[Rizici].[hSkupineRiziciOsiguranja].[Rizik].&amp;[15]" c="02.99 OSTALA DRAGOVOLJNA ZDRAVSTVENA OSIGURANJA"/>
        <s v="[Rizici].[hSkupineRiziciOsiguranja].[Rizik].&amp;[99]" c="19.04 DOŽIVOTNO OSIGURANJE ZA SLUČAJ SMRTI"/>
        <s v="[Rizici].[hSkupineRiziciOsiguranja].[Rizik].&amp;[63]" c="13.05 OSIGURANJE OD ODGOVORNOSTI U ŽELJEZNIČKOM PROMETU"/>
        <s v="[Rizici].[hSkupineRiziciOsiguranja].[Rizik].&amp;[70]" c="13.12 OSIGURANJE OD ODGOVORNOSTI REVIZORSKIH TVRTKI"/>
        <s v="[Rizici].[hSkupineRiziciOsiguranja].[Rizik].&amp;[8]" c="01.99 OSTALA OSIGURANJA OD POSLJEDICA NEZGODE"/>
        <s v="[Rizici].[hSkupineRiziciOsiguranja].[Rizik].&amp;[61]" c="13.03 OSIGURANJE OD ODGOVORNOSTI PROIZVOĐAČA FILMOVA"/>
        <s v="[Rizici].[hSkupineRiziciOsiguranja].[Rizik].&amp;[82]" c="15.01 OSIGURANJE JAMSTVA"/>
        <s v="[Rizici].[hSkupineRiziciOsiguranja].[Rizik].&amp;[3]" c="01.03 OSIGURANJE DJECE I ŠKOLSKE MLADEŽI OD POSLJEDICA NEZGODE I POS. OSIG. MLADEŽI OD POSLJEDICA NEZGODE"/>
        <s v="[Rizici].[hSkupineRiziciOsiguranja].[Rizik].&amp;[41]" c="09.06 OSIGURANJE OBJEKATA U MONTAŽI"/>
        <s v="[Rizici].[hSkupineRiziciOsiguranja].[Rizik].&amp;[9]" c="02.01 OBVEZNO OSIG. NAKNADE TROŠKOVA ZA SLUČAJ OZLJEDE NA RADU I PROF. BOL."/>
        <s v="[Rizici].[hSkupineRiziciOsiguranja].[Rizik].&amp;[19]" c="04.01 KASKO OSIGURANJE TRAČNIH VOZILA"/>
        <s v="[Rizici].[hSkupineRiziciOsiguranja].[Rizik].&amp;[37]" c="09.02 OSIGURANJE OD PROVALNE KRAĐE I RAZBOJSTVA"/>
        <s v="[Rizici].[hSkupineRiziciOsiguranja].[Rizik].&amp;[35]" c="08.99 OSTALA OSIGURANJA OD POŽARA I ELEMENTARNIH NEPOGODA"/>
        <s v="[Rizici].[hSkupineRiziciOsiguranja].[Rizik].&amp;[73]" c="13.15 OSIGURANJE OD ODGOVORNOSTI BRODOPOPRAVLJAČA"/>
        <s v="[Rizici].[hSkupineRiziciOsiguranja].[Rizik].&amp;[14]" c="02.06 PRIVATNO ZDRAVSTVENO OSIGURANJE"/>
        <s v="[Rizici].[hSkupineRiziciOsiguranja].[Rizik].&amp;[7]" c="01.07 OBVEZNO OSIGURANJE PUTNIKA U JAVNOM PRIJEVOZU OD POSLJEDICA NEZGODE"/>
        <s v="[Rizici].[hSkupineRiziciOsiguranja].[Rizik].&amp;[67]" c="13.09 OSIGURANJE OD ODGOVORNOSTI PROJEKTNIH I DRUGIH DRUŠTAVA"/>
        <s v="[Rizici].[hSkupineRiziciOsiguranja].[Rizik].&amp;[86]" c="16.03 OSIGURANJE RAZNIH PRIREDBI ZBOG ATMOSFERSKIH OBORINA"/>
        <s v="[Rizici].[hSkupineRiziciOsiguranja].[Rizik].&amp;[50]" c="10.02 DRAGOVOLJNO OSIG. VLASNIKA ODNOSNO KORISNIKA MOTORNIH VOZILA OD ODG. ZA ŠTETE TREĆIM OSOBAMA"/>
        <s v="[Rizici].[hSkupineRiziciOsiguranja].[Rizik].&amp;[30]" c="07.03 OSIGURANJE ROBE U KOPNENOM PRIJEVOZU"/>
        <s v="[Rizici].[hSkupineRiziciOsiguranja].[Rizik].&amp;[51]" c="10.03 OSIG. OD ODGOVORNOSTI VOZARA ZA ROBU PRIMLJENU NA PRIJEVOZ U CESTOVNOM PROMETU"/>
        <s v="[Rizici].[hSkupineRiziciOsiguranja].[Rizik].&amp;[47]" c="09.12 OSIGURANJE ŽIVOTINJA"/>
        <s v="[Rizici].[hSkupineRiziciOsiguranja].[Rizik].&amp;[71]" c="13.13 OSIGURANJE OD ODGOVORNOSTI ŠPEDITERA"/>
        <s v="[Rizici].[hSkupineRiziciOsiguranja].[Rizik].&amp;[80]" c="14.02 OSIGURANJE DRUGIH VRSTA POTRAŽIVANJA"/>
        <s v="[Rizici].[hSkupineRiziciOsiguranja].[Rizik].&amp;[76]" c="13.18 OSIGURANJE OD ODGOVORNOSTI IZ OBAVLJANJA LIJEČNIČKE, STOMATOLOŠKE I LJEKARNIČKE DJELATNOSTI"/>
        <s v="[Rizici].[hSkupineRiziciOsiguranja].[Rizik].&amp;[93]" c="18.03 PUTNO ZDRAVSTVENO OSIGURANJE"/>
        <s v="[Rizici].[hSkupineRiziciOsiguranja].[Rizik].&amp;[60]" c="13.02 OSIGURANJE UGOVORNE ODGOVORNOSTI IZVOĐAČA MONTAŽNIH RADOVA"/>
        <s v="[Rizici].[hSkupineRiziciOsiguranja].[Rizik].&amp;[49]" c="10.01 OBV. OSIG. VLASNIKA ODNOSNO KORISNIKA MOT. VOZILA OD ODG. ZA ŠTETE TREĆIM OSOBAMA"/>
        <s v="[Rizici].[hSkupineRiziciOsiguranja].[Rizik].&amp;[95]" c="18.99 OSTALA OSIGURANJA TURISTIČKIH RIZIKA"/>
        <s v="[Rizici].[hSkupineRiziciOsiguranja].[Rizik].&amp;[79]" c="14.01 OSIGURANJE IZVOZNIH POTRAŽIVANJA"/>
        <s v="[Rizici].[hSkupineRiziciOsiguranja].[Rizik].&amp;[56]" c="12.02 OSIG. OD ODG. VLASNIKA ODNOSNO KORISNIKA RIJEČNIH I JEZERSKIH PLOVILA"/>
        <s v="[Rizici].[hSkupineRiziciOsiguranja].[Rizik].&amp;[83]" c="15.02 OSIGURANJE GARANCIJA"/>
        <s v="[Rizici].[hSkupineRiziciOsiguranja].[Rizik].&amp;[114]" c="21.99 OSTALA DOPUNSKA OSIGURANJA UZ OSIGURANJE ŽIVOTA"/>
        <s v="[Rizici].[hSkupineRiziciOsiguranja].[Rizik].&amp;[10]" c="02.02 DOPUNSKO OSIG. RAZLIKE IZNAD VRIJEDNOSTI ZDRAV. USLUGA OBV. ZDR. OS."/>
        <s v="[Rizici].[hSkupineRiziciOsiguranja].[Rizik].&amp;[98]" c="19.03 OSIGURANJE ZA SLUČAJ DOŽIVLJENJA"/>
        <s v="[Rizici].[hSkupineRiziciOsiguranja].[Rizik].&amp;[75]" c="13.17 OSIGURANJE OD ODGOVORNOSTI IZ OBAVLJANJA DJELATNOSTI UPRAVLJANJA NEKRETNINAMA"/>
        <s v="[Rizici].[hSkupineRiziciOsiguranja].[Rizik].&amp;[6]" c="01.06 OSTALA POSEBNA OSIGURANJA OD POSLJEDICA NEZGODE"/>
        <s v="[Rizici].[hSkupineRiziciOsiguranja].[Rizik].&amp;[2]" c="01.02 OSIGURANJE OSOBA OD POSLJEDICA NEZGODE U MOTORNIM VOZILIMA I PRI POSEBNIM DJELATNOSTIMA"/>
        <s v="[Rizici].[hSkupineRiziciOsiguranja].[Rizik].&amp;[28]" c="07.01 OSIGURANJE ROBE U POMORSKOM PRIJEVOZU"/>
        <s v="[Rizici].[hSkupineRiziciOsiguranja].[Rizik].&amp;[84]" c="16.01 OSIG. FINANC. GUBITAKA RADI PREKIDA RADA ZBOG POŽARA I NEKIH DRUGIH OPASNOSTI"/>
        <s v="[Rizici].[hSkupineRiziciOsiguranja].[Rizik].&amp;[27]" c="06.99 OSTALA KASKO OSIGURANJA PLOVILA"/>
        <s v="[Rizici].[hSkupineRiziciOsiguranja].[Rizik].&amp;[88]" c="16.05 OSIGURANJE OPASNOSTI OTKAZA TURISTIČKIH PUTOVANJA"/>
        <s v="[Rizici].[hSkupineRiziciOsiguranja].[Rizik].&amp;[44]" c="09.09 OSIGURANJE INFORMATIČKE OPREME"/>
        <s v="[Rizici].[hSkupineRiziciOsiguranja].[Rizik].&amp;[109]" c="20.01 OSIGURANJE OSOBNE DOŽIVOTNE RENTE"/>
        <s v="[Rizici].[hSkupineRiziciOsiguranja].[Rizik].&amp;[81]" c="14.03 OSIGURANJE STAMBENIH KREDITA"/>
        <s v="[Rizici].[hSkupineRiziciOsiguranja].[Rizik].&amp;[110]" c="20.02 OSIGURANJE OSOBNE RENTE S ODREĐENIM TRAJANJEM"/>
        <s v="[Rizici].[hSkupineRiziciOsiguranja].[Rizik].&amp;[39]" c="09.04 OSIGURANJE KUĆANSTVA"/>
        <s v="[Rizici].[hSkupineRiziciOsiguranja].[Rizik].&amp;[48]" c="09.99 OSTALA OSIGURANJA IMOVINE"/>
        <s v="[Rizici].[hSkupineRiziciOsiguranja].[Rizik].&amp;[77]" c="13.19 OSIGURANJE OD ODGOVORNOSTI STEČAJNIH UPRAVITELJA"/>
        <s v="[Rizici].[hSkupineRiziciOsiguranja].[Rizik].&amp;[66]" c="13.08 OSIGURANJE OD ODG. PROJEKTNIH I DRUGIH DRUŠTAVA ZA ŠTETE NA OBJEKTIMA ZBOG NISPRAVNE TEH. DOK."/>
        <s v="[Rizici].[hSkupineRiziciOsiguranja].[Rizik].&amp;[43]" c="09.08 OSIGURANJE STVARI U RUDARSKIM JAMAMA"/>
        <s v="[Rizici].[hSkupineRiziciOsiguranja].[Rizik].&amp;[89]" c="16.99 OSTALA OSIGURANJA FINANCIJSKIH GUBITAKA"/>
        <s v="[Rizici].[hSkupineRiziciOsiguranja].[Rizik].&amp;[16]" c="03.01 KASKO OSIGURANJE CESTOVNIH MOTORNIH VOZILA NA VLASTITI POGON"/>
        <s v="[Rizici].[hSkupineRiziciOsiguranja].[Rizik].&amp;[78]" c="13.99 OSTALA OSIGURANJA OD ODGOVORNOSTI"/>
        <s v="[Rizici].[hSkupineRiziciOsiguranja].[Rizik].&amp;[90]" c="17.01 OSIGURANJE TROŠKOVA PRAVNE ZAŠTITE I TROŠKOVA SUDSKOG POSTUPKA"/>
        <s v="[Rizici].[hSkupineRiziciOsiguranja].[Rizik].&amp;[5]" c="01.05 OSIGURANJE POTOŠAČA, PRETPLATNIKA, KORISNIKA DRUGIH JAVNIH USLUGA I SL. OD POSLJEDICA NEZGODE"/>
        <s v="[Rizici].[hSkupineRiziciOsiguranja].[Rizik].&amp;[85]" c="16.02 OSIGURANJE FINANCIJSKIH GUBITAKA RADI PREKIDA RADA ZBOG LOMA STROJEVA"/>
        <s v="[Rizici].[hSkupineRiziciOsiguranja].[Rizik].&amp;[45]" c="09.10 OSIGURANJE ZALIHA U HLADNJAČAMA"/>
        <s v="[Rizici].[hSkupineRiziciOsiguranja].[Rizik].&amp;[24]" c="06.03 KASKO OSIGURANJE BRODOVA I ČAMACA U JEZERSKOJ PLOVIDBI"/>
        <s v="[Rizici].[hSkupineRiziciOsiguranja].[Rizik].&amp;[38]" c="09.03 OSIGURANJE STAKLA OD LOMA"/>
        <s v="[Rizici].[hSkupineRiziciOsiguranja].[Rizik].&amp;[111]" c="20.99 OSTALA RENTNA OSIGURANJA"/>
        <s v="[Rizici].[hSkupineRiziciOsiguranja].[Rizik].&amp;[65]" c="13.07 OSIGURANJE OPĆE ODGOVORNOSTI"/>
        <s v="[Rizici].[hSkupineRiziciOsiguranja].[Rizik].&amp;[20]" c="05.01 KASKO OSIGURANJE ZRAČNIH LETJELICA"/>
        <s v="[Rizici].[hSkupineRiziciOsiguranja].[Rizik].&amp;[96]" c="19.01 OSIGURANJE ŽIVOTA ZA SLUČAJ SMRTI I DOŽIVLJENJA (MJEŠOVITO OSIGURANJE)"/>
        <s v="[Rizici].[hSkupineRiziciOsiguranja].[Rizik].&amp;[29]" c="07.02 OSIGURANJE ROBE U AVIONSKOM PRIJEVOZU"/>
        <s v="[Rizici].[hSkupineRiziciOsiguranja].[Rizik].&amp;[97]" c="19.02 OSIGURANJE ZA SLUČAJ SMRTI"/>
        <s v="[Rizici].[hSkupineRiziciOsiguranja].[Rizik].&amp;[1]" c="01.01 OSIGURANJE OSOBA OD POSLJEDICA NEZGODE PRI I IZVAN REDOVNOG ZANIMANJA"/>
        <s v="[Rizici].[hSkupineRiziciOsiguranja].[Rizik].&amp;[21]" c="05.02 KASKO OSIGURANJE ZRAČNIH PLOVILA"/>
        <s v="[Rizici].[hSkupineRiziciOsiguranja].[Rizik].&amp;[36]" c="09.01 OSIGURANJE STROJEVA OD LOMA"/>
        <s v="[Rizici].[hSkupineRiziciOsiguranja].[Rizik].&amp;[113]" c="21.02 DOPUNSKO ZDRAVSTVENO OSIGURANJE UZ OSIGURANJE ŽIVOTA"/>
        <s v="[Rizici].[hSkupineRiziciOsiguranja].[Rizik].&amp;[62]" c="13.04 OSIGURANJE OD ODGOVORNOSTI PROIZVOĐAČA ZA PROIZVODE"/>
        <s v="[Rizici].[hSkupineRiziciOsiguranja].[Rizik].&amp;[112]" c="21.01 DOPUNSKO OSIGURANJE OD POSLJEDICA NEZGODE UZ OSIGURANJE ŽIVOTA"/>
        <s v="[Rizici].[hSkupineRiziciOsiguranja].[Rizik].&amp;[22]" c="06.01 KASKO OSIGURANJE BRODOVA I BRODICA U POMORSKOJ PLOVIDBI"/>
        <s v="[Rizici].[hSkupineRiziciOsiguranja].[Rizik].&amp;[31]" c="07.04 OSIGURANJE ROBE ZA VRIJEME USKLADIŠTENJA"/>
        <s v="[Rizici].[hSkupineRiziciOsiguranja].[Rizik].&amp;[74]" c="13.16 OSIGURANJE OD ODGOVORNOSTI OBAVLJANJA ZAŠTITARSKIH I DETEKTIVSKIH DJELATNOSTI"/>
        <s v="[Rizici].[hSkupineRiziciOsiguranja].[Rizik].&amp;[87]" c="16.04 OSIGURANJE OD ŠTETA ZBOG OTKUPA KRIVOTVORENIH INOZEMNIH SREDSTAVA PLAĆANJA"/>
        <s v="[Rizici].[hSkupineRiziciOsiguranja].[Rizik].&amp;[58]" c="12.99 OSTALA OSIGURANJA OD ODGOVORNOSTI ZA UPOTREBU PLOVILA"/>
        <s v="[Rizici].[hSkupineRiziciOsiguranja].[Rizik].&amp;[25]" c="06.04 KASKO OSIGURANJE BRODOVA U IZGRADNJI"/>
        <s v="[Rizici].[hSkupineRiziciOsiguranja].[Rizik].&amp;[17]" c="03.02 KASKO OSIGURANJE CESTOVNIH VOZILA BEZ VLASTITOG POGONA"/>
        <s v="[Rizici].[hSkupineRiziciOsiguranja].[Rizik].&amp;[4]" c="01.04 OSIGURANJE GOSTIJU, POSJETITELJA PRIREDBI, IZLETNIKA I TURISTA OD POSLJEDICA NEZGODE"/>
        <s v="[Rizici].[hSkupineRiziciOsiguranja].[Rizik].&amp;[33]" c="08.01 OSIGURANJE OD POŽARA I ELEMENTARNIH NEPOGODA IZVAN INDUSTRIJE I OBRTA"/>
        <s v="[Rizici].[hSkupineRiziciOsiguranja].[Rizik].&amp;[23]" c="06.02 KASKO OSIGURANJE BRODOVA I ČAMACA U RIJEČNOJ PLOVIDBI"/>
        <s v="[Rizici].[hSkupineRiziciOsiguranja].[Rizik].&amp;[26]" c="06.05 KASKO OSIGURANJE PLATFORMI"/>
        <s v="[Rizici].[hSkupineRiziciOsiguranja].[Rizik].&amp;[100]" c="19.05 OSIGURANJE KRITIČNIH BOLESTI"/>
        <s v="[Rizici].[hSkupineRiziciOsiguranja].[Rizik].&amp;[32]" c="07.99 OSTALA OSIGURANJA ROBE U PRIJEVOZU"/>
        <s v="[Rizici].[hSkupineRiziciOsiguranja].[Rizik].&amp;[94]" c="18.04 OSIGURANJE POMOĆI (ASISTENCIJE) ZA VRIJEME PUTA, IZVAN MJESTA BORAVKA ILI PREBIVALIŠTA"/>
        <s v="[Rizici].[hSkupineRiziciOsiguranja].[Rizik].&amp;[69]" c="13.11 OSIGURANJE OD ODGOVORNOSTI JAVNIH BILJEŽNIKA"/>
        <s v="[Rizici].[hSkupineRiziciOsiguranja].[Rizik].&amp;[12]" c="02.04 DOP. ZDR. OS. VEĆEGA STANDARDA ZDR. USLUGA OD ODREĐENOG ZAKONOM O ZD.O"/>
        <s v="[Rizici].[hSkupineRiziciOsiguranja].[Rizik].&amp;[34]" c="08.02 OSIGURANJE OD POŽARA I ELEMENTARNIH NEPOGODA U INDUSTRIJI I OBRTU"/>
        <s v="[Rizici].[hSkupineRiziciOsiguranja].[Rizik].&amp;[108]" c="19.99 OSTALA OSIGURANJA ŽIVOTA"/>
        <s v="[Rizici].[hSkupineRiziciOsiguranja].[Rizik].&amp;[52]" c="10.99 OSTALA OSIGURANJA OD AUTOMOBILSKE ODGOVORNOSTI"/>
      </sharedItems>
    </cacheField>
    <cacheField name="[Društva].[Hierarchy].[Društvo]" caption="Društvo" numFmtId="0" hierarchy="22" level="1">
      <sharedItems count="26">
        <s v="[Društva].[Hierarchy].[Društvo].&amp;[25]" c="UNIQA OSIGURANJE D.D."/>
        <s v="[Društva].[Hierarchy].[Društvo].&amp;[20]" c="SUNCE OSIGURANJE D.D."/>
        <s v="[Društva].[Hierarchy].[Društvo].&amp;[8]" c="ALLIANZ ZAGREB D.D"/>
        <s v="[Društva].[Hierarchy].[Društvo].&amp;[36]" c="KD LIFE OSIGURANJE D.D."/>
        <s v="[Društva].[Hierarchy].[Društvo].&amp;[33]" c="BNP PARIBAS CARDIF OSIGURANJE D.D"/>
        <s v="[Društva].[Hierarchy].[Društvo].&amp;[39]" c="SOCIETE GENERALE OSIGURANJE D.D."/>
        <s v="[Društva].[Hierarchy].[Društvo].&amp;[40]" c="HRVATSKO KREDITNO OSIGURANJE D.D."/>
        <s v="[Društva].[Hierarchy].[Društvo].&amp;[23]" c="AGRAM LIFE OSIGURANJE DD"/>
        <s v="[Društva].[Hierarchy].[Društvo].&amp;[37]" c="ERGO ŽIVOTNO OSIGURANJE D.D ."/>
        <s v="[Društva].[Hierarchy].[Društvo].&amp;[12]" c="EUROHERC OSIGURANJE D.D."/>
        <s v="[Društva].[Hierarchy].[Društvo].&amp;[38]" c="ERGO OSIGURANJE D.D"/>
        <s v="[Društva].[Hierarchy].[Društvo].&amp;[21]" c="WIENER OSIGURANJE VIENNA INSURANCE GROUP  D.D"/>
        <s v="[Društva].[Hierarchy].[Društvo].&amp;[6]" c="TRIGLAV OSIGURANJE D.D."/>
        <s v="[Društva].[Hierarchy].[Društvo].&amp;[5]" c="CROATIA OSIGURANJE D.D."/>
        <s v="[Društva].[Hierarchy].[Društvo].&amp;[30]" c="GENERALI OSIGURANJE D.D."/>
        <s v="[Društva].[Hierarchy].[Društvo].&amp;[35]" c="VELEBIT ŽIVOTNO OSIGURANJE D.D."/>
        <s v="[Društva].[Hierarchy].[Društvo].&amp;[29]" c="HOK OSIGURANJE D.D."/>
        <s v="[Društva].[Hierarchy].[Društvo].&amp;[31]" c="CROATIA ZDRAVSTVENO OSIGURANJE DD"/>
        <s v="[Društva].[Hierarchy].[Društvo].&amp;[15]" c="BASLER OSIGURANJE ZAGREB D.D. --&gt; UNIQA OSIG."/>
        <s v="[Društva].[Hierarchy].[Društvo].&amp;[18]" c="MERKUR OSIGURANJE D.D."/>
        <s v="[Društva].[Hierarchy].[Društvo].&amp;[41]" c="IZVOR OSIGURANJE D.D."/>
        <s v="[Društva].[Hierarchy].[Društvo].&amp;[197]" c="WÜSTENROT ŽIVOTNO OSIGURANJE D.D ."/>
        <s v="[Društva].[Hierarchy].[Društvo].&amp;[34]" c="VELEBIT OSIGURANJE D.D."/>
        <s v="[Društva].[Hierarchy].[Društvo].&amp;[10]" c="JADRANSKO OSIGURANJE D.D."/>
        <s v="[Društva].[Hierarchy].[Društvo].&amp;[32]" c="ERSTE OSIGURANJE VIG D.D."/>
        <s v="[Društva].[Hierarchy].[Društvo].&amp;[16]" c="GRAWE HRVATSKA D.D"/>
      </sharedItems>
    </cacheField>
    <cacheField name="[Podvrste osiguranja].[hPodvrsteOsiguranja].[Skupina osiguranja]" caption="Skupina osiguranja" numFmtId="0" hierarchy="41" level="1">
      <sharedItems containsSemiMixedTypes="0" containsString="0"/>
    </cacheField>
    <cacheField name="[Podvrste osiguranja].[hPodvrsteOsiguranja].[Vrsta osiguranja]" caption="Vrsta osiguranja" numFmtId="0" hierarchy="41" level="2">
      <sharedItems containsSemiMixedTypes="0" containsString="0"/>
    </cacheField>
    <cacheField name="[Podvrste osiguranja].[hPodvrsteOsiguranja].[Rizik]" caption="Rizik" numFmtId="0" hierarchy="41" level="3">
      <sharedItems count="20">
        <s v="[Podvrste osiguranja].[hPodvrsteOsiguranja].[Rizik].&amp;[121]" c="24.01 TONTINE"/>
        <s v="[Podvrste osiguranja].[hPodvrsteOsiguranja].[Rizik].&amp;[99]" c="19.04 DOŽIVOTNO OSIGURANJE ZA SLUČAJ SMRTI"/>
        <s v="[Podvrste osiguranja].[hPodvrsteOsiguranja].[Rizik].&amp;[108]" c="19.99 OSTALA OSIGURANJA ŽIVOTA"/>
        <s v="[Podvrste osiguranja].[hPodvrsteOsiguranja].[Rizik].&amp;[119]" c="23.04 ŽIVOTNO OSIGURANJE KOD KOJEG OSIGURANIK NA SEBE PREUZIMA INVESTICIJSKI RIZIK S GARANCIJOM ISPLATE"/>
        <s v="[Podvrste osiguranja].[hPodvrsteOsiguranja].[Rizik].&amp;[113]" c="21.02 DOPUNSKO ZDRAVSTVENO OSIGURANJE UZ OSIGURANJE ŽIVOTA"/>
        <s v="[Podvrste osiguranja].[hPodvrsteOsiguranja].[Rizik].&amp;[111]" c="20.99 OSTALA RENTNA OSIGURANJA"/>
        <s v="[Podvrste osiguranja].[hPodvrsteOsiguranja].[Rizik].&amp;[116]" c="23.01 OSIG. ŽIVOTA ZA SLUČAJ SMRTI I DOŽIVLJENJA KOD KOJEG OSIGURANIK NA SEBE PREUZIMA INV. RIZIK"/>
        <s v="[Podvrste osiguranja].[hPodvrsteOsiguranja].[Rizik].&amp;[109]" c="20.01 OSIGURANJE OSOBNE DOŽIVOTNE RENTE"/>
        <s v="[Podvrste osiguranja].[hPodvrsteOsiguranja].[Rizik].&amp;[122]" c="25.01 OSIGURANJE S KAPITALIZACIJOM ISPLATE"/>
        <s v="[Podvrste osiguranja].[hPodvrsteOsiguranja].[Rizik].&amp;[112]" c="21.01 DOPUNSKO OSIGURANJE OD POSLJEDICA NEZGODE UZ OSIGURANJE ŽIVOTA"/>
        <s v="[Podvrste osiguranja].[hPodvrsteOsiguranja].[Rizik].&amp;[110]" c="20.02 OSIGURANJE OSOBNE RENTE S ODREĐENIM TRAJANJEM"/>
        <s v="[Podvrste osiguranja].[hPodvrsteOsiguranja].[Rizik].&amp;[120]" c="23.99 OSTALA ŽIVOTNA OSIGURANJA KOD KOJIH OSIGURANIK NA SEBE PREUZIMA INVESTICIJSKI RIZIK"/>
        <s v="[Podvrste osiguranja].[hPodvrsteOsiguranja].[Rizik].&amp;[100]" c="19.05 OSIGURANJE KRITIČNIH BOLESTI"/>
        <s v="[Podvrste osiguranja].[hPodvrsteOsiguranja].[Rizik].&amp;[118]" c="23.03 OSIGURANJE ZA SLUČAJ DOŽIVLJENJA KOD KOJEG OSIGURANIK NA SEBE PREUZIMA INVESTICIJSKI RIZIK"/>
        <s v="[Podvrste osiguranja].[hPodvrsteOsiguranja].[Rizik].&amp;[97]" c="19.02 OSIGURANJE ZA SLUČAJ SMRTI"/>
        <s v="[Podvrste osiguranja].[hPodvrsteOsiguranja].[Rizik].&amp;[115]" c="22.01 OSIGURANJE ZA SLUČAJ VJENČANJA ILI ROĐENJA"/>
        <s v="[Podvrste osiguranja].[hPodvrsteOsiguranja].[Rizik].&amp;[98]" c="19.03 OSIGURANJE ZA SLUČAJ DOŽIVLJENJA"/>
        <s v="[Podvrste osiguranja].[hPodvrsteOsiguranja].[Rizik].&amp;[117]" c="23.02 OSIGURANJE ZA SLUČAJ SMRTI KOD KOJEG OSIGURANIK NA SEBE PREUZIMA INVESTICIJSKI RIZIK"/>
        <s v="[Podvrste osiguranja].[hPodvrsteOsiguranja].[Rizik].&amp;[114]" c="21.99 OSTALA DOPUNSKA OSIGURANJA UZ OSIGURANJE ŽIVOTA"/>
        <s v="[Podvrste osiguranja].[hPodvrsteOsiguranja].[Rizik].&amp;[96]" c="19.01 OSIGURANJE ŽIVOTA ZA SLUČAJ SMRTI I DOŽIVLJENJA (MJEŠOVITO OSIGURANJE)"/>
      </sharedItems>
    </cacheField>
    <cacheField name="[Godina Podatka].[Godina podatka].[Godina podatka]" caption="Godina podatka" numFmtId="0" hierarchy="35" level="1">
      <sharedItems count="2">
        <s v="[Godina Podatka].[Godina podatka].&amp;[2015]" c="2015"/>
        <s v="[Godina Podatka].[Godina podatka].&amp;[2014]" c="2014"/>
      </sharedItems>
    </cacheField>
    <cacheField name="[Measures].[MeasuresLevel]" caption="MeasuresLevel" numFmtId="0" hierarchy="39">
      <sharedItems count="8">
        <s v="[Measures].[Zaračunata bruto premija osiguranja- rizici]" c="Zaračunata bruto premija osiguranja- rizici"/>
        <s v="[Measures].[Likvidirane štete bruto - rizici]" c="Likvidirane štete bruto - rizici"/>
        <s v="[Measures].[Broj novih osiguranja s višekratnim plaćanjem premije]" c="Broj novih osiguranja s višekratnim plaćanjem premije"/>
        <s v="[Measures].[Broj novih osiguranja s jednokratnim plaćanjem premije]" c="Broj novih osiguranja s jednokratnim plaćanjem premije"/>
        <s v="[Measures].[Broj šteta - rizici]" c="Broj šteta - rizici"/>
        <s v="[Measures].[Broj osiguranja- rizici]" c="Broj osiguranja- rizici"/>
        <s v="[Measures].[Zaračunata bruto premija novih osiguranja s jednokratnim plaćanjem premije]" c="Zaračunata bruto premija novih osiguranja s jednokratnim plaćanjem premije"/>
        <s v="[Measures].[Zaračunata bruto premija novih osiguranja s višekratnim plaćanjem premije]" c="Zaračunata bruto premija novih osiguranja s višekratnim plaćanjem premije"/>
      </sharedItems>
    </cacheField>
    <cacheField name="[Skupine osiguranja].[Skupina osiguranja].[Skupina osiguranja]" caption="Skupina osiguranja" numFmtId="0" hierarchy="60" level="1">
      <sharedItems count="2">
        <s v="[Skupine osiguranja].[Skupina osiguranja].&amp;[2]" c="Život"/>
        <s v="[Skupine osiguranja].[Skupina osiguranja].&amp;[1]" c="Neživot"/>
      </sharedItems>
    </cacheField>
    <cacheField name="[Vrste osiguranja].[hSkupineVrsteOsiguranja].[Skupina osiguranja]" caption="Skupina osiguranja" numFmtId="0" hierarchy="68" level="1">
      <sharedItems count="2">
        <s v="[Vrste osiguranja].[hSkupineVrsteOsiguranja].[Skupina osiguranja].&amp;[1]" c="Neživot"/>
        <s v="[Vrste osiguranja].[hSkupineVrsteOsiguranja].[Skupina osiguranja].&amp;[2]" c="Život"/>
      </sharedItems>
    </cacheField>
    <cacheField name="[Vrste osiguranja].[hSkupineVrsteOsiguranja].[Vrsta osiguranja]" caption="Vrsta osiguranja" numFmtId="0" hierarchy="68" level="2">
      <sharedItems count="25">
        <s v="[Vrste osiguranja].[hSkupineVrsteOsiguranja].[Vrsta osiguranja].&amp;[22]" c="22 OSIGURANJE ZA SLUČAJ VJENČANJA ILI ROĐENJA"/>
        <s v="[Vrste osiguranja].[hSkupineVrsteOsiguranja].[Vrsta osiguranja].&amp;[15]" c="15 OSIGURANJE JAMSTVA"/>
        <s v="[Vrste osiguranja].[hSkupineVrsteOsiguranja].[Vrsta osiguranja].&amp;[16]" c="16 OSIGURANJE RAZNIH FINANCIJSKIH GUBITAKA"/>
        <s v="[Vrste osiguranja].[hSkupineVrsteOsiguranja].[Vrsta osiguranja].&amp;[11]" c="11 OSIGURANJE OD ODGOVORNOSTI ZA UPOTREBU ZRAČNIH LETJELICA"/>
        <s v="[Vrste osiguranja].[hSkupineVrsteOsiguranja].[Vrsta osiguranja].&amp;[21]" c="21 DOPUNSKA OSIGURANJA ŽIVOTNOG OSIGURANJA"/>
        <s v="[Vrste osiguranja].[hSkupineVrsteOsiguranja].[Vrsta osiguranja].&amp;[2]" c="02 ZDRAVSTVENO OSIGURANJE"/>
        <s v="[Vrste osiguranja].[hSkupineVrsteOsiguranja].[Vrsta osiguranja].&amp;[12]" c="12 OSIGURANJE OD ODGOVORNOSTI ZA UPOTREBU PLOVILA"/>
        <s v="[Vrste osiguranja].[hSkupineVrsteOsiguranja].[Vrsta osiguranja].&amp;[18]" c="18 PUTNO OSIGURANJE"/>
        <s v="[Vrste osiguranja].[hSkupineVrsteOsiguranja].[Vrsta osiguranja].&amp;[14]" c="14 OSIGURANJE KREDITA"/>
        <s v="[Vrste osiguranja].[hSkupineVrsteOsiguranja].[Vrsta osiguranja].&amp;[23]" c="23 ŽIVOTNA ILI RENTNA OSIGURANJA KOD KOJIH UGOVARATELJ OSIGURANJA SNOSI RIZIK ULAGANJA"/>
        <s v="[Vrste osiguranja].[hSkupineVrsteOsiguranja].[Vrsta osiguranja].&amp;[7]" c="07 OSIGURANJE ROBE U PRIJEVOZU"/>
        <s v="[Vrste osiguranja].[hSkupineVrsteOsiguranja].[Vrsta osiguranja].&amp;[3]" c="03 OSIGURANJE CESTOVNIH VOZILA - KASKO"/>
        <s v="[Vrste osiguranja].[hSkupineVrsteOsiguranja].[Vrsta osiguranja].&amp;[8]" c="08 OSIGURANJE OD POŽARA I ELEMENTARNIH ŠTETA"/>
        <s v="[Vrste osiguranja].[hSkupineVrsteOsiguranja].[Vrsta osiguranja].&amp;[17]" c="17 OSIGURANJE TROŠKOVA PRAVNE ZAŠTITE"/>
        <s v="[Vrste osiguranja].[hSkupineVrsteOsiguranja].[Vrsta osiguranja].&amp;[24]" c="24 TONTINE"/>
        <s v="[Vrste osiguranja].[hSkupineVrsteOsiguranja].[Vrsta osiguranja].&amp;[1]" c="01 OSIGURANJE OD NEZGODE"/>
        <s v="[Vrste osiguranja].[hSkupineVrsteOsiguranja].[Vrsta osiguranja].&amp;[19]" c="19 ŽIVOTNO OSIGURANJE"/>
        <s v="[Vrste osiguranja].[hSkupineVrsteOsiguranja].[Vrsta osiguranja].&amp;[25]" c="25 OSIGURANJE S KAPITALIZACIJOM"/>
        <s v="[Vrste osiguranja].[hSkupineVrsteOsiguranja].[Vrsta osiguranja].&amp;[6]" c="06 OSIGURANJE PLOVILA"/>
        <s v="[Vrste osiguranja].[hSkupineVrsteOsiguranja].[Vrsta osiguranja].&amp;[9]" c="09 OSTALA OSIGURANJA IMOVINE"/>
        <s v="[Vrste osiguranja].[hSkupineVrsteOsiguranja].[Vrsta osiguranja].&amp;[10]" c="10 OSIGURANJE OD ODGOVORNOSTI ZA UPOTREBU MOTORNIH VOZILA"/>
        <s v="[Vrste osiguranja].[hSkupineVrsteOsiguranja].[Vrsta osiguranja].&amp;[20]" c="20 RENTNO OSIGURANJE"/>
        <s v="[Vrste osiguranja].[hSkupineVrsteOsiguranja].[Vrsta osiguranja].&amp;[4]" c="04 OSIGURANJE TRAČNIH VOZILA - KASKO"/>
        <s v="[Vrste osiguranja].[hSkupineVrsteOsiguranja].[Vrsta osiguranja].&amp;[5]" c="05 OSIGURANJE ZRAČNIH LETJELICA - KASKO"/>
        <s v="[Vrste osiguranja].[hSkupineVrsteOsiguranja].[Vrsta osiguranja].&amp;[13]" c="13 OSTALA OSIGURANJA OD ODGOVORNOSTI"/>
      </sharedItems>
    </cacheField>
  </cacheFields>
  <cacheHierarchies count="234">
    <cacheHierarchy uniqueName="[Bilanca].[Broj pozicije]" caption="Broj pozicije" attribute="1" defaultMemberUniqueName="[Bilanca].[Broj pozicije].[Sve pozicije]" allUniqueName="[Bilanca].[Broj pozicije].[Sve pozicije]" dimensionUniqueName="[Bilanca]" displayFolder="" count="2" unbalanced="0"/>
    <cacheHierarchy uniqueName="[Bilanca].[Nad pozicija]" caption="Nad pozicija" defaultMemberUniqueName="[Bilanca].[Nad pozicija].[Sve pozicije]" allUniqueName="[Bilanca].[Nad pozicija].[Sve pozicije]" dimensionUniqueName="[Bilanca]" displayFolder="" count="8" unbalanced="1"/>
    <cacheHierarchy uniqueName="[Bilanca].[Opis pozcije]" caption="Opis pozcije" attribute="1" defaultMemberUniqueName="[Bilanca].[Opis pozcije].[Sve pozicije]" allUniqueName="[Bilanca].[Opis pozcije].[Sve pozicije]" dimensionUniqueName="[Bilanca]" displayFolder="" count="2" unbalanced="0"/>
    <cacheHierarchy uniqueName="[Bilanca].[Oznaka pozicije]" caption="Oznaka pozicije" attribute="1" defaultMemberUniqueName="[Bilanca].[Oznaka pozicije].[Sve pozicije]" allUniqueName="[Bilanca].[Oznaka pozicije].[Sve pozicije]" dimensionUniqueName="[Bilanca]" displayFolder="" count="2" unbalanced="0"/>
    <cacheHierarchy uniqueName="[Bilanca].[Pozicija]" caption="Pozicija" attribute="1" keyAttribute="1" defaultMemberUniqueName="[Bilanca].[Pozicija].[Sve pozicije]" allUniqueName="[Bilanca].[Pozicija].[Sve pozicije]" dimensionUniqueName="[Bilanca]" displayFolder="" count="2" unbalanced="0"/>
    <cacheHierarchy uniqueName="[Datum dostave].[Dan U Tjednu]" caption="Dan U Tjednu" attribute="1" time="1" defaultMemberUniqueName="[Datum dostave].[Dan U Tjednu].[All]" allUniqueName="[Datum dostave].[Dan U Tjednu].[All]" dimensionUniqueName="[Datum dostave]" displayFolder="" count="2" unbalanced="0"/>
    <cacheHierarchy uniqueName="[Datum dostave].[Datum]" caption="Datum" attribute="1" time="1" keyAttribute="1" defaultMemberUniqueName="[Datum dostave].[Datum].[All]" allUniqueName="[Datum dostave].[Datum].[All]" dimensionUniqueName="[Datum dostave]" displayFolder="" count="2" memberValueDatatype="130" unbalanced="0"/>
    <cacheHierarchy uniqueName="[Datum dostave].[Godina]" caption="Godina" attribute="1" time="1" defaultMemberUniqueName="[Datum dostave].[Godina].[All]" allUniqueName="[Datum dostave].[Godina].[All]" dimensionUniqueName="[Datum dostave]" displayFolder="" count="2" unbalanced="0"/>
    <cacheHierarchy uniqueName="[Datum dostave].[Hierarchy]" caption="Hierarchy" time="1" defaultMemberUniqueName="[Datum dostave].[Hierarchy].[All]" allUniqueName="[Datum dostave].[Hierarchy].[All]" dimensionUniqueName="[Datum dostave]" displayFolder="" count="5" unbalanced="0"/>
    <cacheHierarchy uniqueName="[Datum dostave].[Kvartal]" caption="Kvartal" attribute="1" time="1" defaultMemberUniqueName="[Datum dostave].[Kvartal].[All]" allUniqueName="[Datum dostave].[Kvartal].[All]" dimensionUniqueName="[Datum dostave]" displayFolder="" count="2" unbalanced="0"/>
    <cacheHierarchy uniqueName="[Datum dostave].[Mjesec]" caption="Mjesec" attribute="1" time="1" defaultMemberUniqueName="[Datum dostave].[Mjesec].[All]" allUniqueName="[Datum dostave].[Mjesec].[All]" dimensionUniqueName="[Datum dostave]" displayFolder="" count="2" unbalanced="0"/>
    <cacheHierarchy uniqueName="[Društva].[Adresa 1]" caption="Adresa 1" attribute="1" defaultMemberUniqueName="[Društva].[Adresa 1].[Sva društva]" allUniqueName="[Društva].[Adresa 1].[Sva društva]" dimensionUniqueName="[Društva]" displayFolder="" count="2" unbalanced="0"/>
    <cacheHierarchy uniqueName="[Društva].[Adresa 2]" caption="Adresa 2" attribute="1" defaultMemberUniqueName="[Društva].[Adresa 2].[Sva društva]" allUniqueName="[Društva].[Adresa 2].[Sva društva]" dimensionUniqueName="[Društva]" displayFolder="" count="2" unbalanced="0"/>
    <cacheHierarchy uniqueName="[Društva].[Adresa 3]" caption="Adresa 3" attribute="1" defaultMemberUniqueName="[Društva].[Adresa 3].[Sva društva]" allUniqueName="[Društva].[Adresa 3].[Sva društva]" dimensionUniqueName="[Društva]" displayFolder="" count="2" unbalanced="0"/>
    <cacheHierarchy uniqueName="[Društva].[Adresa 4]" caption="Adresa 4" attribute="1" defaultMemberUniqueName="[Društva].[Adresa 4].[Sva društva]" allUniqueName="[Društva].[Adresa 4].[Sva društva]" dimensionUniqueName="[Društva]" displayFolder="" count="2" unbalanced="0"/>
    <cacheHierarchy uniqueName="[Društva].[Broj Pošte]" caption="Broj Pošte" attribute="1" defaultMemberUniqueName="[Društva].[Broj Pošte].[Sva društva]" allUniqueName="[Društva].[Broj Pošte].[Sva društva]" dimensionUniqueName="[Društva]" displayFolder="" count="2" unbalanced="0"/>
    <cacheHierarchy uniqueName="[Društva].[Članstvo HUO]" caption="Članstvo HUO" attribute="1" defaultMemberUniqueName="[Društva].[Članstvo HUO].[Sva društva]" allUniqueName="[Društva].[Članstvo HUO].[Sva društva]" dimensionUniqueName="[Društva]" displayFolder="" count="2" unbalanced="0"/>
    <cacheHierarchy uniqueName="[Društva].[Društvo]" caption="Društvo" attribute="1" defaultMemberUniqueName="[Društva].[Društvo].[Sva društva]" allUniqueName="[Društva].[Društvo].[Sva društva]" dimensionUniqueName="[Društva]" displayFolder="" count="2" unbalanced="0"/>
    <cacheHierarchy uniqueName="[Društva].[Država]" caption="Država" attribute="1" defaultMemberUniqueName="[Društva].[Država].[Sva društva]" allUniqueName="[Društva].[Država].[Sva društva]" dimensionUniqueName="[Društva]" displayFolder="" count="2" unbalanced="0"/>
    <cacheHierarchy uniqueName="[Društva].[Fax 1]" caption="Fax 1" attribute="1" defaultMemberUniqueName="[Društva].[Fax 1].[Sva društva]" allUniqueName="[Društva].[Fax 1].[Sva društva]" dimensionUniqueName="[Društva]" displayFolder="" count="2" unbalanced="0"/>
    <cacheHierarchy uniqueName="[Društva].[Fax 2]" caption="Fax 2" attribute="1" defaultMemberUniqueName="[Društva].[Fax 2].[Sva društva]" allUniqueName="[Društva].[Fax 2].[Sva društva]" dimensionUniqueName="[Društva]" displayFolder="" count="2" unbalanced="0"/>
    <cacheHierarchy uniqueName="[Društva].[Fax Stranka]" caption="Fax Stranka" attribute="1" defaultMemberUniqueName="[Društva].[Fax Stranka].[Sva društva]" allUniqueName="[Društva].[Fax Stranka].[Sva društva]" dimensionUniqueName="[Društva]" displayFolder="" count="2" unbalanced="0"/>
    <cacheHierarchy uniqueName="[Društva].[Hierarchy]" caption="Hierarchy" defaultMemberUniqueName="[Društva].[Hierarchy].[All]" allUniqueName="[Društva].[Hierarchy].[All]" allCaption="All" dimensionUniqueName="[Društva]" displayFolder="" count="3" unbalanced="0">
      <fieldsUsage count="2">
        <fieldUsage x="-1"/>
        <fieldUsage x="4"/>
      </fieldsUsage>
    </cacheHierarchy>
    <cacheHierarchy uniqueName="[Društva].[Kod Društva]" caption="Kod Društva" attribute="1" defaultMemberUniqueName="[Društva].[Kod Društva].[Sva društva]" allUniqueName="[Društva].[Kod Društva].[Sva društva]" dimensionUniqueName="[Društva]" displayFolder="" count="2" unbalanced="0"/>
    <cacheHierarchy uniqueName="[Društva].[Mail Adresa 1]" caption="Mail Adresa 1" attribute="1" defaultMemberUniqueName="[Društva].[Mail Adresa 1].[Sva društva]" allUniqueName="[Društva].[Mail Adresa 1].[Sva društva]" dimensionUniqueName="[Društva]" displayFolder="" count="2" unbalanced="0"/>
    <cacheHierarchy uniqueName="[Društva].[Mail Adresa 2]" caption="Mail Adresa 2" attribute="1" defaultMemberUniqueName="[Društva].[Mail Adresa 2].[Sva društva]" allUniqueName="[Društva].[Mail Adresa 2].[Sva društva]" dimensionUniqueName="[Društva]" displayFolder="" count="2" unbalanced="0"/>
    <cacheHierarchy uniqueName="[Društva].[Mail Stranka]" caption="Mail Stranka" attribute="1" defaultMemberUniqueName="[Društva].[Mail Stranka].[Sva društva]" allUniqueName="[Društva].[Mail Stranka].[Sva društva]" dimensionUniqueName="[Društva]" displayFolder="" count="2" unbalanced="0"/>
    <cacheHierarchy uniqueName="[Društva].[Matični Broj]" caption="Matični Broj" attribute="1" defaultMemberUniqueName="[Društva].[Matični Broj].[Sva društva]" allUniqueName="[Društva].[Matični Broj].[Sva društva]" dimensionUniqueName="[Društva]" displayFolder="" count="2" unbalanced="0"/>
    <cacheHierarchy uniqueName="[Društva].[OIB]" caption="OIB" attribute="1" defaultMemberUniqueName="[Društva].[OIB].[Sva društva]" allUniqueName="[Društva].[OIB].[Sva društva]" dimensionUniqueName="[Društva]" displayFolder="" count="2" unbalanced="0"/>
    <cacheHierarchy uniqueName="[Društva].[Podružnica]" caption="Podružnica" attribute="1" keyAttribute="1" defaultMemberUniqueName="[Društva].[Podružnica].[Sva društva]" allUniqueName="[Društva].[Podružnica].[Sva društva]" dimensionUniqueName="[Društva]" displayFolder="" count="2" unbalanced="0"/>
    <cacheHierarchy uniqueName="[Društva].[Telefon 1]" caption="Telefon 1" attribute="1" defaultMemberUniqueName="[Društva].[Telefon 1].[Sva društva]" allUniqueName="[Društva].[Telefon 1].[Sva društva]" dimensionUniqueName="[Društva]" displayFolder="" count="2" unbalanced="0"/>
    <cacheHierarchy uniqueName="[Društva].[Telefon 2]" caption="Telefon 2" attribute="1" defaultMemberUniqueName="[Društva].[Telefon 2].[Sva društva]" allUniqueName="[Društva].[Telefon 2].[Sva društva]" dimensionUniqueName="[Društva]" displayFolder="" count="2" unbalanced="0"/>
    <cacheHierarchy uniqueName="[Društva].[Telefon 3]" caption="Telefon 3" attribute="1" defaultMemberUniqueName="[Društva].[Telefon 3].[Sva društva]" allUniqueName="[Društva].[Telefon 3].[Sva društva]" dimensionUniqueName="[Društva]" displayFolder="" count="2" unbalanced="0"/>
    <cacheHierarchy uniqueName="[Društva].[Telefon Stranka]" caption="Telefon Stranka" attribute="1" defaultMemberUniqueName="[Društva].[Telefon Stranka].[Sva društva]" allUniqueName="[Društva].[Telefon Stranka].[Sva društva]" dimensionUniqueName="[Društva]" displayFolder="" count="2" unbalanced="0"/>
    <cacheHierarchy uniqueName="[Društva].[Web Adresa]" caption="Web Adresa" attribute="1" defaultMemberUniqueName="[Društva].[Web Adresa].[Sva društva]" allUniqueName="[Društva].[Web Adresa].[Sva društva]" dimensionUniqueName="[Društva]" displayFolder="" count="2" unbalanced="0"/>
    <cacheHierarchy uniqueName="[Godina Podatka].[Godina podatka]" caption="Godina podatka" attribute="1" keyAttribute="1" defaultMemberUniqueName="[Godina Podatka].[Godina podatka].[Sve]" allUniqueName="[Godina Podatka].[Godina podatka].[Sve]" dimensionUniqueName="[Godina Podatka]" displayFolder="" count="2" unbalanced="0">
      <fieldsUsage count="2">
        <fieldUsage x="-1"/>
        <fieldUsage x="8"/>
      </fieldsUsage>
    </cacheHierarchy>
    <cacheHierarchy uniqueName="[HUO Podatak].[HUOS]" caption="HUO Podatak.HUOS" attribute="1" defaultMemberUniqueName="[HUO Podatak].[HUOS].[Svi]" allUniqueName="[HUO Podatak].[HUOS].[Svi]" dimensionUniqueName="[HUO Podatak]" displayFolder="" count="2" unbalanced="0"/>
    <cacheHierarchy uniqueName="[HUO Podatak].[Opis2]" caption="HUO Podatak.Opis2" attribute="1" defaultMemberUniqueName="[HUO Podatak].[Opis2].[Svi]" allUniqueName="[HUO Podatak].[Opis2].[Svi]" dimensionUniqueName="[HUO Podatak]" displayFolder="" count="2" unbalanced="0"/>
    <cacheHierarchy uniqueName="[HUO Podatak].[Pomoćna]" caption="HUO Podatak.Pomoćna" attribute="1" keyAttribute="1" defaultMemberUniqueName="[HUO Podatak].[Pomoćna].[Svi]" allUniqueName="[HUO Podatak].[Pomoćna].[Svi]" dimensionUniqueName="[HUO Podatak]" displayFolder="" count="2" unbalanced="0"/>
    <cacheHierarchy uniqueName="[Measures]" caption="Measures" attribute="1" keyAttribute="1" defaultMemberUniqueName="[Measures].[Iznos bilance]" dimensionUniqueName="[Measures]" displayFolder="" measures="1" count="1" unbalanced="0">
      <fieldsUsage count="1">
        <fieldUsage x="9"/>
      </fieldsUsage>
    </cacheHierarchy>
    <cacheHierarchy uniqueName="[Oblici ugovaranja].[Oblik ugovaranja]" caption="Oblik ugovaranja" attribute="1" keyAttribute="1" defaultMemberUniqueName="[Oblici ugovaranja].[Oblik ugovaranja].[Svi]" allUniqueName="[Oblici ugovaranja].[Oblik ugovaranja].[Svi]" dimensionUniqueName="[Oblici ugovaranja]" displayFolder="" count="2" unbalanced="0"/>
    <cacheHierarchy uniqueName="[Podvrste osiguranja].[hPodvrsteOsiguranja]" caption="hPodvrsteOsiguranja" defaultMemberUniqueName="[Podvrste osiguranja].[hPodvrsteOsiguranja].[Sve]" allUniqueName="[Podvrste osiguranja].[hPodvrsteOsiguranja].[Sve]" dimensionUniqueName="[Podvrste osiguranja]" displayFolder="" count="5" unbalanced="0">
      <fieldsUsage count="4">
        <fieldUsage x="-1"/>
        <fieldUsage x="5"/>
        <fieldUsage x="6"/>
        <fieldUsage x="7"/>
      </fieldsUsage>
    </cacheHierarchy>
    <cacheHierarchy uniqueName="[Podvrste osiguranja].[Podvrsta osiguranja]" caption="Podvrsta osiguranja" attribute="1" keyAttribute="1" defaultMemberUniqueName="[Podvrste osiguranja].[Podvrsta osiguranja].[Sve]" allUniqueName="[Podvrste osiguranja].[Podvrsta osiguranja].[Sve]" dimensionUniqueName="[Podvrste osiguranja]" displayFolder="" count="2" unbalanced="0"/>
    <cacheHierarchy uniqueName="[Podvrste osiguranja].[Rizik]" caption="Rizik" attribute="1" defaultMemberUniqueName="[Podvrste osiguranja].[Rizik].[Sve]" allUniqueName="[Podvrste osiguranja].[Rizik].[Sve]" dimensionUniqueName="[Podvrste osiguranja]" displayFolder="Atributi" count="2" unbalanced="0"/>
    <cacheHierarchy uniqueName="[Podvrste osiguranja].[Skupina osiguranja]" caption="Skupina osiguranja" attribute="1" defaultMemberUniqueName="[Podvrste osiguranja].[Skupina osiguranja].[Sve]" allUniqueName="[Podvrste osiguranja].[Skupina osiguranja].[Sve]" dimensionUniqueName="[Podvrste osiguranja]" displayFolder="" count="2" unbalanced="0"/>
    <cacheHierarchy uniqueName="[Podvrste osiguranja].[Šifra podvrste osiguranja]" caption="Šifra podvrste osiguranja" attribute="1" defaultMemberUniqueName="[Podvrste osiguranja].[Šifra podvrste osiguranja].[Sve]" allUniqueName="[Podvrste osiguranja].[Šifra podvrste osiguranja].[Sve]" dimensionUniqueName="[Podvrste osiguranja]" displayFolder="Atributi" count="2" unbalanced="0"/>
    <cacheHierarchy uniqueName="[Podvrste osiguranja].[Šifra rizika]" caption="Šifra rizika" attribute="1" defaultMemberUniqueName="[Podvrste osiguranja].[Šifra rizika].[Sve]" allUniqueName="[Podvrste osiguranja].[Šifra rizika].[Sve]" dimensionUniqueName="[Podvrste osiguranja]" displayFolder="Atributi" count="2" unbalanced="0"/>
    <cacheHierarchy uniqueName="[Podvrste osiguranja].[Šifra vrste osiguranja]" caption="Šifra vrste osiguranja" attribute="1" defaultMemberUniqueName="[Podvrste osiguranja].[Šifra vrste osiguranja].[Sve]" allUniqueName="[Podvrste osiguranja].[Šifra vrste osiguranja].[Sve]" dimensionUniqueName="[Podvrste osiguranja]" displayFolder="Atributi" count="2" unbalanced="0"/>
    <cacheHierarchy uniqueName="[Podvrste osiguranja].[Vrsta osiguranja]" caption="Vrsta osiguranja" attribute="1" defaultMemberUniqueName="[Podvrste osiguranja].[Vrsta osiguranja].[Sve]" allUniqueName="[Podvrste osiguranja].[Vrsta osiguranja].[Sve]" dimensionUniqueName="[Podvrste osiguranja]" displayFolder="Atributi" count="2" unbalanced="0"/>
    <cacheHierarchy uniqueName="[Premijske grupe statistike].[Premijska grupa]" caption="Premijska grupa" attribute="1" keyAttribute="1" defaultMemberUniqueName="[Premijske grupe statistike].[Premijska grupa].[Sve]" allUniqueName="[Premijske grupe statistike].[Premijska grupa].[Sve]" dimensionUniqueName="[Premijske grupe statistike]" displayFolder="" count="2" unbalanced="0"/>
    <cacheHierarchy uniqueName="[Prodajni kanali].[Prodajni kanal]" caption="Prodajni kanal" attribute="1" keyAttribute="1" defaultMemberUniqueName="[Prodajni kanali].[Prodajni kanal].[Svi]" allUniqueName="[Prodajni kanali].[Prodajni kanal].[Svi]" dimensionUniqueName="[Prodajni kanali]" displayFolder="" count="2" unbalanced="0"/>
    <cacheHierarchy uniqueName="[RDG Pozicija].[Opis RDG pozicije]" caption="Opis RDG pozicije" attribute="1" defaultMemberUniqueName="[RDG Pozicija].[Opis RDG pozicije].[Sve]" allUniqueName="[RDG Pozicija].[Opis RDG pozicije].[Sve]" dimensionUniqueName="[RDG Pozicija]" displayFolder="" count="2" unbalanced="0"/>
    <cacheHierarchy uniqueName="[RDG Pozicija].[Oznaka RDG pozicije]" caption="Oznaka RDG pozicije" attribute="1" defaultMemberUniqueName="[RDG Pozicija].[Oznaka RDG pozicije].[Sve]" allUniqueName="[RDG Pozicija].[Oznaka RDG pozicije].[Sve]" dimensionUniqueName="[RDG Pozicija]" displayFolder="" count="2" unbalanced="0"/>
    <cacheHierarchy uniqueName="[RDG Pozicija].[RDG pozicija]" caption="RDG pozicija" attribute="1" keyAttribute="1" defaultMemberUniqueName="[RDG Pozicija].[RDG pozicija].[Sve]" allUniqueName="[RDG Pozicija].[RDG pozicija].[Sve]" dimensionUniqueName="[RDG Pozicija]" displayFolder="" count="2" unbalanced="0"/>
    <cacheHierarchy uniqueName="[Rizici].[hSkupineRiziciOsiguranja]" caption="hSkupineRiziciOsiguranja" defaultMemberUniqueName="[Rizici].[hSkupineRiziciOsiguranja].[Sve]" allUniqueName="[Rizici].[hSkupineRiziciOsiguranja].[Sve]" allCaption="Sve" dimensionUniqueName="[Rizici]" displayFolder="" count="4" unbalanced="0">
      <fieldsUsage count="4">
        <fieldUsage x="-1"/>
        <fieldUsage x="1"/>
        <fieldUsage x="2"/>
        <fieldUsage x="3"/>
      </fieldsUsage>
    </cacheHierarchy>
    <cacheHierarchy uniqueName="[Rizici].[Rizik]" caption="Rizik" attribute="1" keyAttribute="1" defaultMemberUniqueName="[Rizici].[Rizik].[Sve]" allUniqueName="[Rizici].[Rizik].[Sve]" dimensionUniqueName="[Rizici]" displayFolder="" count="2" unbalanced="0"/>
    <cacheHierarchy uniqueName="[Rizici].[Skupina osiguranja]" caption="Skupina osiguranja" attribute="1" defaultMemberUniqueName="[Rizici].[Skupina osiguranja].[Sve]" allUniqueName="[Rizici].[Skupina osiguranja].[Sve]" dimensionUniqueName="[Rizici]" displayFolder="" count="2" unbalanced="0"/>
    <cacheHierarchy uniqueName="[Rizici].[Šifra rizika]" caption="Šifra rizika" attribute="1" defaultMemberUniqueName="[Rizici].[Šifra rizika].[Sve]" allUniqueName="[Rizici].[Šifra rizika].[Sve]" dimensionUniqueName="[Rizici]" displayFolder="" count="2" unbalanced="0"/>
    <cacheHierarchy uniqueName="[Rizici].[Šifra vrste osiguranja]" caption="Šifra vrste osiguranja" attribute="1" defaultMemberUniqueName="[Rizici].[Šifra vrste osiguranja].[Sve]" allUniqueName="[Rizici].[Šifra vrste osiguranja].[Sve]" dimensionUniqueName="[Rizici]" displayFolder="" count="2" unbalanced="0"/>
    <cacheHierarchy uniqueName="[Rizici].[Vrsta osiguranja]" caption="Vrsta osiguranja" attribute="1" defaultMemberUniqueName="[Rizici].[Vrsta osiguranja].[Sve]" allUniqueName="[Rizici].[Vrsta osiguranja].[Sve]" dimensionUniqueName="[Rizici]" displayFolder="" count="2" unbalanced="0"/>
    <cacheHierarchy uniqueName="[Skupine osiguranja].[Skupina osiguranja]" caption="Skupina osiguranja" attribute="1" keyAttribute="1" defaultMemberUniqueName="[Skupine osiguranja].[Skupina osiguranja].[Sve]" allUniqueName="[Skupine osiguranja].[Skupina osiguranja].[Sve]" allCaption="Sve" dimensionUniqueName="[Skupine osiguranja]" displayFolder="" count="2" unbalanced="0">
      <fieldsUsage count="2">
        <fieldUsage x="-1"/>
        <fieldUsage x="10"/>
      </fieldsUsage>
    </cacheHierarchy>
    <cacheHierarchy uniqueName="[Stručne spreme].[Stručna sprema]" caption="Stručna sprema" attribute="1" keyAttribute="1" defaultMemberUniqueName="[Stručne spreme].[Stručna sprema].[Sve]" allUniqueName="[Stručne spreme].[Stručna sprema].[Sve]" dimensionUniqueName="[Stručne spreme]" displayFolder="" count="2" unbalanced="0"/>
    <cacheHierarchy uniqueName="[Učestalost podataka].[Redni broj učestalosti podatka]" caption="Redni broj učestalosti podatka" attribute="1" defaultMemberUniqueName="[Učestalost podataka].[Redni broj učestalosti podatka].[All]" allUniqueName="[Učestalost podataka].[Redni broj učestalosti podatka].[All]" dimensionUniqueName="[Učestalost podataka]" displayFolder="" count="2" unbalanced="0"/>
    <cacheHierarchy uniqueName="[Učestalost podataka].[Šifra učestalosti podatka]" caption="Šifra učestalosti podatka" attribute="1" defaultMemberUniqueName="[Učestalost podataka].[Šifra učestalosti podatka].[All]" allUniqueName="[Učestalost podataka].[Šifra učestalosti podatka].[All]" dimensionUniqueName="[Učestalost podataka]" displayFolder="" count="2" unbalanced="0"/>
    <cacheHierarchy uniqueName="[Učestalost podataka].[Učestalost podatka]" caption="Učestalost podatka" attribute="1" keyAttribute="1" defaultMemberUniqueName="[Učestalost podataka].[Učestalost podatka].[All]" allUniqueName="[Učestalost podataka].[Učestalost podatka].[All]" dimensionUniqueName="[Učestalost podataka]" displayFolder="" count="2" unbalanced="0">
      <fieldsUsage count="2">
        <fieldUsage x="-1"/>
        <fieldUsage x="0"/>
      </fieldsUsage>
    </cacheHierarchy>
    <cacheHierarchy uniqueName="[Verificirano].[HUOS]" caption="Verificirano.HUOS" attribute="1" defaultMemberUniqueName="[Verificirano].[HUOS].[Svi]" allUniqueName="[Verificirano].[HUOS].[Svi]" dimensionUniqueName="[Verificirano]" displayFolder="" count="2" unbalanced="0"/>
    <cacheHierarchy uniqueName="[Verificirano].[Opis2]" caption="Verificirano.Opis2" attribute="1" defaultMemberUniqueName="[Verificirano].[Opis2].[Svi]" allUniqueName="[Verificirano].[Opis2].[Svi]" dimensionUniqueName="[Verificirano]" displayFolder="" count="2" unbalanced="0"/>
    <cacheHierarchy uniqueName="[Verificirano].[Pomoćna]" caption="Verificirano.Pomoćna" attribute="1" keyAttribute="1" defaultMemberUniqueName="[Verificirano].[Pomoćna].[Svi]" allUniqueName="[Verificirano].[Pomoćna].[Svi]" dimensionUniqueName="[Verificirano]" displayFolder="" count="2" unbalanced="0"/>
    <cacheHierarchy uniqueName="[Vrste osiguranja].[hSkupineVrsteOsiguranja]" caption="hSkupineVrsteOsiguranja" defaultMemberUniqueName="[Vrste osiguranja].[hSkupineVrsteOsiguranja].[Sve]" allUniqueName="[Vrste osiguranja].[hSkupineVrsteOsiguranja].[Sve]" allCaption="Sve" dimensionUniqueName="[Vrste osiguranja]" displayFolder="" count="3" unbalanced="0">
      <fieldsUsage count="3">
        <fieldUsage x="-1"/>
        <fieldUsage x="11"/>
        <fieldUsage x="12"/>
      </fieldsUsage>
    </cacheHierarchy>
    <cacheHierarchy uniqueName="[Vrste osiguranja].[Skupina osiguranja]" caption="Skupina osiguranja" attribute="1" defaultMemberUniqueName="[Vrste osiguranja].[Skupina osiguranja].[Sve]" allUniqueName="[Vrste osiguranja].[Skupina osiguranja].[Sve]" dimensionUniqueName="[Vrste osiguranja]" displayFolder="" count="2" unbalanced="0"/>
    <cacheHierarchy uniqueName="[Vrste osiguranja].[Šifra vrste osiguranja]" caption="Šifra vrste osiguranja" attribute="1" defaultMemberUniqueName="[Vrste osiguranja].[Šifra vrste osiguranja].[Sve]" allUniqueName="[Vrste osiguranja].[Šifra vrste osiguranja].[Sve]" dimensionUniqueName="[Vrste osiguranja]" displayFolder="" count="2" unbalanced="0"/>
    <cacheHierarchy uniqueName="[Vrste osiguranja].[Vrsta osiguranja]" caption="Vrsta osiguranja" attribute="1" keyAttribute="1" defaultMemberUniqueName="[Vrste osiguranja].[Vrsta osiguranja].[Sve]" allUniqueName="[Vrste osiguranja].[Vrsta osiguranja].[Sve]" dimensionUniqueName="[Vrste osiguranja]" displayFolder="" count="2" unbalanced="0"/>
    <cacheHierarchy uniqueName="[Vrste osigurateljno tehničkih pričuva].[Vrste osigurateljno tehničke pričuve]" caption="Vrste osigurateljno tehničke pričuve" attribute="1" keyAttribute="1" defaultMemberUniqueName="[Vrste osigurateljno tehničkih pričuva].[Vrste osigurateljno tehničke pričuve].[Sve]" allUniqueName="[Vrste osigurateljno tehničkih pričuva].[Vrste osigurateljno tehničke pričuve].[Sve]" dimensionUniqueName="[Vrste osigurateljno tehničkih pričuva]" displayFolder="" count="2" unbalanced="0"/>
    <cacheHierarchy uniqueName="[Measures].[Iznos bilance]" caption="Iznos bilance" measure="1" displayFolder="" measureGroup="Bilanca" count="0"/>
    <cacheHierarchy uniqueName="[Measures].[Broj osiguranja- rizici]" caption="Broj osiguranja- rizici" measure="1" displayFolder="" measureGroup="Rizici" count="0"/>
    <cacheHierarchy uniqueName="[Measures].[Zaračunata bruto premija osiguranja- rizici]" caption="Zaračunata bruto premija osiguranja- rizici" measure="1" displayFolder="" measureGroup="Rizici" count="0"/>
    <cacheHierarchy uniqueName="[Measures].[Stanje prijenosne premije bruto 0101- rizici]" caption="Stanje prijenosne premije bruto 0101- rizici" measure="1" displayFolder="" measureGroup="Rizici" count="0"/>
    <cacheHierarchy uniqueName="[Measures].[Stanje prijenosne premije bruto 3112- rizici]" caption="Stanje prijenosne premije bruto 3112- rizici" measure="1" displayFolder="" measureGroup="Rizici" count="0"/>
    <cacheHierarchy uniqueName="[Measures].[Broj šteta - rizici]" caption="Broj šteta - rizici" measure="1" displayFolder="" measureGroup="Rizici" count="0"/>
    <cacheHierarchy uniqueName="[Measures].[Likvidirane štete bruto - rizici]" caption="Likvidirane štete bruto - rizici" measure="1" displayFolder="" measureGroup="Rizici" count="0"/>
    <cacheHierarchy uniqueName="[Measures].[Stanje pričuva šteta bruto 0101 - rizici]" caption="Stanje pričuva šteta bruto 0101 - rizici" measure="1" displayFolder="" measureGroup="Rizici" count="0"/>
    <cacheHierarchy uniqueName="[Measures].[Stanje pričuva šteta bruto 3112 - rizici]" caption="Stanje pričuva šteta bruto 3112 - rizici" measure="1" displayFolder="" measureGroup="Rizici" count="0"/>
    <cacheHierarchy uniqueName="[Measures].[Broj šteta u pričuvi 0101 - rizici]" caption="Broj šteta u pričuvi 0101 - rizici" measure="1" displayFolder="" measureGroup="Rizici" count="0"/>
    <cacheHierarchy uniqueName="[Measures].[Zaračunata bruto premija osiguranja- rizici EUR]" caption="Zaračunata bruto premija osiguranja- rizici EUR" measure="1" displayFolder="Rizici EUR" measureGroup="Rizici" count="0"/>
    <cacheHierarchy uniqueName="[Measures].[Stanje prijenosne premije bruto 0101- rizici EUR]" caption="Stanje prijenosne premije bruto 0101- rizici EUR" measure="1" displayFolder="Rizici EUR" measureGroup="Rizici" count="0"/>
    <cacheHierarchy uniqueName="[Measures].[Stanje prijenosne premije bruto 3112- rizici EUR]" caption="Stanje prijenosne premije bruto 3112- rizici EUR" measure="1" displayFolder="Rizici EUR" measureGroup="Rizici" count="0"/>
    <cacheHierarchy uniqueName="[Measures].[Likvidirane štete bruto - rizici EUR]" caption="Likvidirane štete bruto - rizici EUR" measure="1" displayFolder="Rizici EUR" measureGroup="Rizici" count="0"/>
    <cacheHierarchy uniqueName="[Measures].[Stanje pričuva šteta bruto 0101 - rizici EUR]" caption="Stanje pričuva šteta bruto 0101 - rizici EUR" measure="1" displayFolder="Rizici EUR" measureGroup="Rizici" count="0"/>
    <cacheHierarchy uniqueName="[Measures].[Stanje pričuva šteta bruto 3112 - rizici EUR]" caption="Stanje pričuva šteta bruto 3112 - rizici EUR" measure="1" displayFolder="Rizici EUR" measureGroup="Rizici" count="0"/>
    <cacheHierarchy uniqueName="[Measures].[2_Premije predane u reosiguranje]" caption="2_Premije predane u reosiguranje" measure="1" displayFolder="" measureGroup="Statistika po vrstama osiguranja" count="0"/>
    <cacheHierarchy uniqueName="[Measures].[2_Promjena bruto pričuva prijenosnih premija PM]" caption="2_Promjena bruto pričuva prijenosnih premija PM" measure="1" displayFolder="" measureGroup="Statistika po vrstama osiguranja" count="0"/>
    <cacheHierarchy uniqueName="[Measures].[2_Promjena pričuva prijenosnih premija udio reosiguranja PM]" caption="2_Promjena pričuva prijenosnih premija udio reosiguranja PM" measure="1" displayFolder="" measureGroup="Statistika po vrstama osiguranja" count="0"/>
    <cacheHierarchy uniqueName="[Measures].[3_Struktura premije tehnička]" caption="3_Struktura premije tehnička" measure="1" displayFolder="" measureGroup="Statistika po vrstama osiguranja" count="0"/>
    <cacheHierarchy uniqueName="[Measures].[3_Struktura premije preventiva]" caption="3_Struktura premije preventiva" measure="1" displayFolder="" measureGroup="Statistika po vrstama osiguranja" count="0"/>
    <cacheHierarchy uniqueName="[Measures].[3_Struktura premije djelatnost]" caption="3_Struktura premije djelatnost" measure="1" displayFolder="" measureGroup="Statistika po vrstama osiguranja" count="0"/>
    <cacheHierarchy uniqueName="[Measures].[5_Udio reosiguranja u štetama]" caption="5_Udio reosiguranja u štetama" measure="1" displayFolder="" measureGroup="Statistika po vrstama osiguranja" count="0"/>
    <cacheHierarchy uniqueName="[Measures].[5_Promjena pričuva za štete udio reosiguranja PM]" caption="5_Promjena pričuva za štete udio reosiguranja PM" measure="1" displayFolder="" measureGroup="Statistika po vrstama osiguranja" count="0"/>
    <cacheHierarchy uniqueName="[Measures].[5_Promjena bruto pričuva za štete PM]" caption="5_Promjena bruto pričuva za štete PM" measure="1" displayFolder="" measureGroup="Statistika po vrstama osiguranja" count="0"/>
    <cacheHierarchy uniqueName="[Measures].[6_Broj šteta prijavljenih u godini]" caption="6_Broj šteta prijavljenih u godini" measure="1" displayFolder="" measureGroup="Statistika po vrstama osiguranja" count="0"/>
    <cacheHierarchy uniqueName="[Measures].[6_Broj šteta riješenih u godini otklonjene]" caption="6_Broj šteta riješenih u godini otklonjene" measure="1" displayFolder="" measureGroup="Statistika po vrstama osiguranja" count="0"/>
    <cacheHierarchy uniqueName="[Measures].[6_Broj šteta u sudskom Sporu]" caption="6_Broj šteta u sudskom Sporu" measure="1" displayFolder="" measureGroup="Statistika po vrstama osiguranja" count="0"/>
    <cacheHierarchy uniqueName="[Measures].[6_Broj šteta u arbitražnom postupku]" caption="6_Broj šteta u arbitražnom postupku" measure="1" displayFolder="" measureGroup="Statistika po vrstama osiguranja" count="0"/>
    <cacheHierarchy uniqueName="[Measures].[6_Broj nereješenih šteta na 0101]" caption="6_Broj nereješenih šteta na 0101" measure="1" displayFolder="" measureGroup="Statistika po vrstama osiguranja" count="0"/>
    <cacheHierarchy uniqueName="[Measures].[7_Stanje pričuva preijnosna premija bruto]" caption="7_Stanje pričuva preijnosna premija bruto" measure="1" displayFolder="" measureGroup="Statistika po vrstama osiguranja" count="0"/>
    <cacheHierarchy uniqueName="[Measures].[7_Stanje pričuva udio reosiguranja]" caption="7_Stanje pričuva udio reosiguranja" measure="1" displayFolder="" measureGroup="Statistika po vrstama osiguranja" count="0"/>
    <cacheHierarchy uniqueName="[Measures].[81_Pričuve za prijavljene štete bruto]" caption="81_Pričuve za prijavljene štete bruto" measure="1" displayFolder="" measureGroup="Statistika po vrstama osiguranja" count="0"/>
    <cacheHierarchy uniqueName="[Measures].[81_Pričuve za nastale a neprijavljene štete bruto]" caption="81_Pričuve za nastale a neprijavljene štete bruto" measure="1" displayFolder="" measureGroup="Statistika po vrstama osiguranja" count="0"/>
    <cacheHierarchy uniqueName="[Measures].[81_Pričuve za rente bruto]" caption="81_Pričuve za rente bruto" measure="1" displayFolder="" measureGroup="Statistika po vrstama osiguranja" count="0"/>
    <cacheHierarchy uniqueName="[Measures].[81_Pričuve za troškove obrade šteta bruto]" caption="81_Pričuve za troškove obrade šteta bruto" measure="1" displayFolder="" measureGroup="Statistika po vrstama osiguranja" count="0"/>
    <cacheHierarchy uniqueName="[Measures].[81_Udio reosiguranja u pričuvi šteta]" caption="81_Udio reosiguranja u pričuvi šteta" measure="1" displayFolder="" measureGroup="Statistika po vrstama osiguranja" count="0"/>
    <cacheHierarchy uniqueName="[Measures].[9_Pričuve za bonuse i popuste bruto]" caption="9_Pričuve za bonuse i popuste bruto" measure="1" displayFolder="" measureGroup="Statistika po vrstama osiguranja" count="0"/>
    <cacheHierarchy uniqueName="[Measures].[9_Pričuve udio reosiguranja]" caption="9_Pričuve udio reosiguranja" measure="1" displayFolder="" measureGroup="Statistika po vrstama osiguranja" count="0"/>
    <cacheHierarchy uniqueName="[Measures].[10_Pričuve za izravnavanje kolebanje šteta]" caption="10_Pričuve za izravnavanje kolebanje šteta" measure="1" displayFolder="" measureGroup="Statistika po vrstama osiguranja" count="0"/>
    <cacheHierarchy uniqueName="[Measures].[11_Ostale osigurateljno tehničke pričuve bruto]" caption="11_Ostale osigurateljno tehničke pričuve bruto" measure="1" displayFolder="" measureGroup="Statistika po vrstama osiguranja" count="0"/>
    <cacheHierarchy uniqueName="[Measures].[11_Ostale osigurateljno tehničke pričuve udio reosiguranja]" caption="11_Ostale osigurateljno tehničke pričuve udio reosiguranja" measure="1" displayFolder="" measureGroup="Statistika po vrstama osiguranja" count="0"/>
    <cacheHierarchy uniqueName="[Measures].[15_Troškovi uprave amortizacija bez građevinskih objekata]" caption="15_Troškovi uprave amortizacija bez građevinskih objekata" measure="1" displayFolder="" measureGroup="Statistika po vrstama osiguranja" count="0"/>
    <cacheHierarchy uniqueName="[Measures].[15_Troškovi uprave plaće porezi i doprinosi]" caption="15_Troškovi uprave plaće porezi i doprinosi" measure="1" displayFolder="" measureGroup="Statistika po vrstama osiguranja" count="0"/>
    <cacheHierarchy uniqueName="[Measures].[15_Troškovi uprave ostali troškovi]" caption="15_Troškovi uprave ostali troškovi" measure="1" displayFolder="" measureGroup="Statistika po vrstama osiguranja" count="0"/>
    <cacheHierarchy uniqueName="[Measures].[15_Provizija od reosiguratelja i udio u dobiti]" caption="15_Provizija od reosiguratelja i udio u dobiti" measure="1" displayFolder="" measureGroup="Statistika po vrstama osiguranja" count="0"/>
    <cacheHierarchy uniqueName="[Measures].[16_Troškovi pribave provizija]" caption="16_Troškovi pribave provizija" measure="1" displayFolder="" measureGroup="Statistika po vrstama osiguranja" count="0"/>
    <cacheHierarchy uniqueName="[Measures].[16_Troškovi pribave ostali]" caption="16_Troškovi pribave ostali" measure="1" displayFolder="" measureGroup="Statistika po vrstama osiguranja" count="0"/>
    <cacheHierarchy uniqueName="[Measures].[16_Promjena razgraničenih troškova pribave PM]" caption="16_Promjena razgraničenih troškova pribave PM" measure="1" displayFolder="" measureGroup="Statistika po vrstama osiguranja" count="0"/>
    <cacheHierarchy uniqueName="[Measures].[16_Stanje razgraničenih troškova Pribave3112]" caption="16_Stanje razgraničenih troškova Pribave3112" measure="1" displayFolder="" measureGroup="Statistika po vrstama osiguranja" count="0"/>
    <cacheHierarchy uniqueName="[Measures].[2_Premije Predane U Reosiguranje EUR]" caption="2_Premije Predane U Reosiguranje EUR" measure="1" displayFolder="2_EUR" measureGroup="Statistika po vrstama osiguranja" count="0"/>
    <cacheHierarchy uniqueName="[Measures].[2_Promjena Bruto Pricuva Prijenosnih Premija PM EUR]" caption="2_Promjena Bruto Pricuva Prijenosnih Premija PM EUR" measure="1" displayFolder="2_EUR" measureGroup="Statistika po vrstama osiguranja" count="0"/>
    <cacheHierarchy uniqueName="[Measures].[2_Promjena Pricuva Prijenosnih Premija Udio Reosiguranja PM EUR]" caption="2_Promjena Pricuva Prijenosnih Premija Udio Reosiguranja PM EUR" measure="1" displayFolder="2_EUR" measureGroup="Statistika po vrstama osiguranja" count="0"/>
    <cacheHierarchy uniqueName="[Measures].[3_Struktura Premije Tehnicka EUR]" caption="3_Struktura Premije Tehnicka EUR" measure="1" displayFolder="3_EUR" measureGroup="Statistika po vrstama osiguranja" count="0"/>
    <cacheHierarchy uniqueName="[Measures].[3_Struktura Premije Preventiva EUR]" caption="3_Struktura Premije Preventiva EUR" measure="1" displayFolder="3_EUR" measureGroup="Statistika po vrstama osiguranja" count="0"/>
    <cacheHierarchy uniqueName="[Measures].[3_Struktura Premije Djelatnost EUR]" caption="3_Struktura Premije Djelatnost EUR" measure="1" displayFolder="3_EUR" measureGroup="Statistika po vrstama osiguranja" count="0"/>
    <cacheHierarchy uniqueName="[Measures].[13_Broj osiguranja]" caption="13_Broj osiguranja" measure="1" displayFolder="" measureGroup="Statistika po rizicima" count="0"/>
    <cacheHierarchy uniqueName="[Measures].[13_Broj osiguranih osoba aktivne police kraj obračunskoga razdoblja]" caption="13_Broj osiguranih osoba aktivne police kraj obračunskoga razdoblja" measure="1" displayFolder="" measureGroup="Statistika po rizicima" count="0"/>
    <cacheHierarchy uniqueName="[Measures].[13_Iznos ugovorenih svota godišnjih renti s dodijeljenom dobiti]" caption="13_Iznos ugovorenih svota godišnjih renti s dodijeljenom dobiti" measure="1" displayFolder="" measureGroup="Statistika po rizicima" count="0"/>
    <cacheHierarchy uniqueName="[Measures].[13_Iznos godišnjih bruto premija policiranih]" caption="13_Iznos godišnjih bruto premija policiranih" measure="1" displayFolder="" measureGroup="Statistika po rizicima" count="0"/>
    <cacheHierarchy uniqueName="[Measures].[13_Ukalkulirani troškovi u bruto premiji]" caption="13_Ukalkulirani troškovi u bruto premiji" measure="1" displayFolder="" measureGroup="Statistika po rizicima" count="0"/>
    <cacheHierarchy uniqueName="[Measures].[13_Režijski dodatak iz premije]" caption="13_Režijski dodatak iz premije" measure="1" displayFolder="" measureGroup="Statistika po rizicima" count="0"/>
    <cacheHierarchy uniqueName="[Measures].[13_Bruto iznos matematičke pričuve cilmeriziran]" caption="13_Bruto iznos matematičke pričuve cilmeriziran" measure="1" displayFolder="" measureGroup="Statistika po rizicima" count="0"/>
    <cacheHierarchy uniqueName="[Measures].[13_Udio reosiguranja]" caption="13_Udio reosiguranja" measure="1" displayFolder="" measureGroup="Statistika po rizicima" count="0"/>
    <cacheHierarchy uniqueName="[Measures].[13_Iznos priznatog neamortiziranog troška provizije zaključenja osiguranja]" caption="13_Iznos priznatog neamortiziranog troška provizije zaključenja osiguranja" measure="1" displayFolder="" measureGroup="Statistika po rizicima" count="0"/>
    <cacheHierarchy uniqueName="[Measures].[13_Bruto iznos tehničke pričuve]" caption="13_Bruto iznos tehničke pričuve" measure="1" displayFolder="" measureGroup="Statistika po rizicima" count="0"/>
    <cacheHierarchy uniqueName="[Measures].[17_Broj osiguranih osoba tijekom godine]" caption="17_Broj osiguranih osoba tijekom godine" measure="1" displayFolder="" measureGroup="Statistika po rizicima" count="0"/>
    <cacheHierarchy uniqueName="[Measures].[17_Broj osiguranih osoba aktivne police3112]" caption="17_Broj osiguranih osoba aktivne police3112" measure="1" displayFolder="" measureGroup="Statistika po rizicima" count="0"/>
    <cacheHierarchy uniqueName="[Measures].[18_Broj osiguranih osoba tijekom godine u tuzemstvu]" caption="18_Broj osiguranih osoba tijekom godine u tuzemstvu" measure="1" displayFolder="" measureGroup="Statistika po rizicima" count="0"/>
    <cacheHierarchy uniqueName="[Measures].[18_Broj osiguranih osoba tijekom godine u inozemstvu]" caption="18_Broj osiguranih osoba tijekom godine u inozemstvu" measure="1" displayFolder="" measureGroup="Statistika po rizicima" count="0"/>
    <cacheHierarchy uniqueName="[Measures].[18_Broj osiguranih osoba aktivne police 3112 u tuzemstvu]" caption="18_Broj osiguranih osoba aktivne police 3112 u tuzemstvu" measure="1" displayFolder="" measureGroup="Statistika po rizicima" count="0"/>
    <cacheHierarchy uniqueName="[Measures].[18_Broj osiguranih osoba aktivne police 3112 u inozemstvu]" caption="18_Broj osiguranih osoba aktivne police 3112 u inozemstvu" measure="1" displayFolder="" measureGroup="Statistika po rizicima" count="0"/>
    <cacheHierarchy uniqueName="[Measures].[221_Broj osiguranja]" caption="221_Broj osiguranja" measure="1" displayFolder="" measureGroup="Statistika po rizicima" count="0"/>
    <cacheHierarchy uniqueName="[Measures].[221_Broj osiguranih objekata]" caption="221_Broj osiguranih objekata" measure="1" displayFolder="" measureGroup="Statistika po rizicima" count="0"/>
    <cacheHierarchy uniqueName="[Measures].[221_Zaračunata bruto premija]" caption="221_Zaračunata bruto premija" measure="1" displayFolder="" measureGroup="Statistika po rizicima" count="0"/>
    <cacheHierarchy uniqueName="[Measures].[221_Zaračunata funkcionalna premija]" caption="221_Zaračunata funkcionalna premija" measure="1" displayFolder="" measureGroup="Statistika po rizicima" count="0"/>
    <cacheHierarchy uniqueName="[Measures].[221_Stanje prijenosne premije bruto 0101]" caption="221_Stanje prijenosne premije bruto 0101" measure="1" displayFolder="" measureGroup="Statistika po rizicima" count="0"/>
    <cacheHierarchy uniqueName="[Measures].[221_Stanje prijenosne premije bruto 3112]" caption="221_Stanje prijenosne premije bruto 3112" measure="1" displayFolder="" measureGroup="Statistika po rizicima" count="0"/>
    <cacheHierarchy uniqueName="[Measures].[222_Broj likvidiranih šteta osobe]" caption="222_Broj likvidiranih šteta osobe" measure="1" displayFolder="" measureGroup="Statistika po rizicima" count="0"/>
    <cacheHierarchy uniqueName="[Measures].[222_Broj likvidiranih šteta stvari]" caption="222_Broj likvidiranih šteta stvari" measure="1" displayFolder="" measureGroup="Statistika po rizicima" count="0"/>
    <cacheHierarchy uniqueName="[Measures].[222_Likvidirane štete iznosi bruto odšteta osobe]" caption="222_Likvidirane štete iznosi bruto odšteta osobe" measure="1" displayFolder="" measureGroup="Statistika po rizicima" count="0"/>
    <cacheHierarchy uniqueName="[Measures].[222_Likvidirane štete iznosi bruto odšteta stvari]" caption="222_Likvidirane štete iznosi bruto odšteta stvari" measure="1" displayFolder="" measureGroup="Statistika po rizicima" count="0"/>
    <cacheHierarchy uniqueName="[Measures].[222_Pričuve broj šteta na osobama]" caption="222_Pričuve broj šteta na osobama" measure="1" displayFolder="" measureGroup="Statistika po rizicima" count="0"/>
    <cacheHierarchy uniqueName="[Measures].[222_Pričuve broj šteta na stvarima]" caption="222_Pričuve broj šteta na stvarima" measure="1" displayFolder="" measureGroup="Statistika po rizicima" count="0"/>
    <cacheHierarchy uniqueName="[Measures].[222_Pričuve rezervirani bruto iznosi odšteta osobe]" caption="222_Pričuve rezervirani bruto iznosi odšteta osobe" measure="1" displayFolder="" measureGroup="Statistika po rizicima" count="0"/>
    <cacheHierarchy uniqueName="[Measures].[222_Pričuve rezervirani bruto iznosi odšteta stvari]" caption="222_Pričuve rezervirani bruto iznosi odšteta stvari" measure="1" displayFolder="" measureGroup="Statistika po rizicima" count="0"/>
    <cacheHierarchy uniqueName="[Measures].[191_Broj ugovora o osiguranju]" caption="191_Broj ugovora o osiguranju" measure="1" displayFolder="" measureGroup="Statistike po podvrstama osiguranja" count="0"/>
    <cacheHierarchy uniqueName="[Measures].[191_Zaračunata bruto premija]" caption="191_Zaračunata bruto premija" measure="1" displayFolder="" measureGroup="Statistike po podvrstama osiguranja" count="0"/>
    <cacheHierarchy uniqueName="[Measures].[191_Zaračunata funkcionalna premija]" caption="191_Zaračunata funkcionalna premija" measure="1" displayFolder="" measureGroup="Statistike po podvrstama osiguranja" count="0"/>
    <cacheHierarchy uniqueName="[Measures].[191_Stanje prijenosne premije bruto 0101]" caption="191_Stanje prijenosne premije bruto 0101" measure="1" displayFolder="" measureGroup="Statistike po podvrstama osiguranja" count="0"/>
    <cacheHierarchy uniqueName="[Measures].[191_Stanje prijenosne premije bruto 3112]" caption="191_Stanje prijenosne premije bruto 3112" measure="1" displayFolder="" measureGroup="Statistike po podvrstama osiguranja" count="0"/>
    <cacheHierarchy uniqueName="[Measures].[192_Broj likvidiranih šteta smrt]" caption="192_Broj likvidiranih šteta smrt" measure="1" displayFolder="" measureGroup="Statistike po podvrstama osiguranja" count="0"/>
    <cacheHierarchy uniqueName="[Measures].[192_Broj likvidiranih šteta trajni invaliditet]" caption="192_Broj likvidiranih šteta trajni invaliditet" measure="1" displayFolder="" measureGroup="Statistike po podvrstama osiguranja" count="0"/>
    <cacheHierarchy uniqueName="[Measures].[192_Broj likvidiranih šteta ostalo]" caption="192_Broj likvidiranih šteta ostalo" measure="1" displayFolder="" measureGroup="Statistike po podvrstama osiguranja" count="0"/>
    <cacheHierarchy uniqueName="[Measures].[192_Iznos likvidiranih šteta smrt]" caption="192_Iznos likvidiranih šteta smrt" measure="1" displayFolder="" measureGroup="Statistike po podvrstama osiguranja" count="0"/>
    <cacheHierarchy uniqueName="[Measures].[192_Iznos likvidiranih šteta trajni invaliditet]" caption="192_Iznos likvidiranih šteta trajni invaliditet" measure="1" displayFolder="" measureGroup="Statistike po podvrstama osiguranja" count="0"/>
    <cacheHierarchy uniqueName="[Measures].[192_Iznos likvidiranih šteta ostalo]" caption="192_Iznos likvidiranih šteta ostalo" measure="1" displayFolder="" measureGroup="Statistike po podvrstama osiguranja" count="0"/>
    <cacheHierarchy uniqueName="[Measures].[192_Broj pričuva šteta smrt]" caption="192_Broj pričuva šteta smrt" measure="1" displayFolder="" measureGroup="Statistike po podvrstama osiguranja" count="0"/>
    <cacheHierarchy uniqueName="[Measures].[192_Broj pričuva šteta trajni invaliditet]" caption="192_Broj pričuva šteta trajni invaliditet" measure="1" displayFolder="" measureGroup="Statistike po podvrstama osiguranja" count="0"/>
    <cacheHierarchy uniqueName="[Measures].[192_Broj pričuva šteta otalo]" caption="192_Broj pričuva šteta otalo" measure="1" displayFolder="" measureGroup="Statistike po podvrstama osiguranja" count="0"/>
    <cacheHierarchy uniqueName="[Measures].[192_Rezervirani iznos pričuva šteta bruto smrt]" caption="192_Rezervirani iznos pričuva šteta bruto smrt" measure="1" displayFolder="" measureGroup="Statistike po podvrstama osiguranja" count="0"/>
    <cacheHierarchy uniqueName="[Measures].[192_Rezervirani iznos pričuva šteta bruto trajni invaliditet]" caption="192_Rezervirani iznos pričuva šteta bruto trajni invaliditet" measure="1" displayFolder="" measureGroup="Statistike po podvrstama osiguranja" count="0"/>
    <cacheHierarchy uniqueName="[Measures].[192_Rezervirani iznos pričuva šteta bruto ostalo]" caption="192_Rezervirani iznos pričuva šteta bruto ostalo" measure="1" displayFolder="" measureGroup="Statistike po podvrstama osiguranja" count="0"/>
    <cacheHierarchy uniqueName="[Measures].[201_Broj osiguranja]" caption="201_Broj osiguranja" measure="1" displayFolder="" measureGroup="Statistike po podvrstama osiguranja" count="0"/>
    <cacheHierarchy uniqueName="[Measures].[201_Broj osiguranih osoba]" caption="201_Broj osiguranih osoba" measure="1" displayFolder="" measureGroup="Statistike po podvrstama osiguranja" count="0"/>
    <cacheHierarchy uniqueName="[Measures].[201_Zaračunata bruto premija osiguranja]" caption="201_Zaračunata bruto premija osiguranja" measure="1" displayFolder="" measureGroup="Statistike po podvrstama osiguranja" count="0"/>
    <cacheHierarchy uniqueName="[Measures].[201_Zaračunata funkcionalna premija]" caption="201_Zaračunata funkcionalna premija" measure="1" displayFolder="" measureGroup="Statistike po podvrstama osiguranja" count="0"/>
    <cacheHierarchy uniqueName="[Measures].[201_Stanje prijenosne premije bruto 0101]" caption="201_Stanje prijenosne premije bruto 0101" measure="1" displayFolder="" measureGroup="Statistike po podvrstama osiguranja" count="0"/>
    <cacheHierarchy uniqueName="[Measures].[201_Stanje prijenosne premije bruto 3112]" caption="201_Stanje prijenosne premije bruto 3112" measure="1" displayFolder="" measureGroup="Statistike po podvrstama osiguranja" count="0"/>
    <cacheHierarchy uniqueName="[Measures].[202_Broj šteta za ozljede na radu]" caption="202_Broj šteta za ozljede na radu" measure="1" displayFolder="" measureGroup="Statistike po podvrstama osiguranja" count="0"/>
    <cacheHierarchy uniqueName="[Measures].[202_Broj šteta za profesionalne bolesti]" caption="202_Broj šteta za profesionalne bolesti" measure="1" displayFolder="" measureGroup="Statistike po podvrstama osiguranja" count="0"/>
    <cacheHierarchy uniqueName="[Measures].[202_Likvidirane štete bruto za ozljede na radu]" caption="202_Likvidirane štete bruto za ozljede na radu" measure="1" displayFolder="" measureGroup="Statistike po podvrstama osiguranja" count="0"/>
    <cacheHierarchy uniqueName="[Measures].[202_Likvidirane štete bruto za profesionalne bolesti]" caption="202_Likvidirane štete bruto za profesionalne bolesti" measure="1" displayFolder="" measureGroup="Statistike po podvrstama osiguranja" count="0"/>
    <cacheHierarchy uniqueName="[Measures].[202_Broj šteta u Pričuvi za ozljede na radu i profesionalne bolesti 0101]" caption="202_Broj šteta u Pričuvi za ozljede na radu i profesionalne bolesti 0101" measure="1" displayFolder="" measureGroup="Statistike po podvrstama osiguranja" count="0"/>
    <cacheHierarchy uniqueName="[Measures].[202_Broj šteta u Pričuvi za ozljede na radu i profesionalne bolesti 3112]" caption="202_Broj šteta u Pričuvi za ozljede na radu i profesionalne bolesti 3112" measure="1" displayFolder="" measureGroup="Statistike po podvrstama osiguranja" count="0"/>
    <cacheHierarchy uniqueName="[Measures].[202_Štete u pričuvi za ozljede na radu i profesionalne bolesti bruto 0101]" caption="202_Štete u pričuvi za ozljede na radu i profesionalne bolesti bruto 0101" measure="1" displayFolder="" measureGroup="Statistike po podvrstama osiguranja" count="0"/>
    <cacheHierarchy uniqueName="[Measures].[202_Štete u pričuvi za ozljede na radu i profesionalne bolesti bruto 3112]" caption="202_Štete u pričuvi za ozljede na radu i profesionalne bolesti bruto 3112" measure="1" displayFolder="" measureGroup="Statistike po podvrstama osiguranja" count="0"/>
    <cacheHierarchy uniqueName="[Measures].[211_Broj osiguranja]" caption="211_Broj osiguranja" measure="1" displayFolder="" measureGroup="Statistike po premijskim grupama" count="0"/>
    <cacheHierarchy uniqueName="[Measures].[211_Zaračunata bruto premija]" caption="211_Zaračunata bruto premija" measure="1" displayFolder="" measureGroup="Statistike po premijskim grupama" count="0"/>
    <cacheHierarchy uniqueName="[Measures].[211_Zaračunata funkcionalna premija]" caption="211_Zaračunata funkcionalna premija" measure="1" displayFolder="" measureGroup="Statistike po premijskim grupama" count="0"/>
    <cacheHierarchy uniqueName="[Measures].[211_Stanje prijenosnih premija bruto 0101]" caption="211_Stanje prijenosnih premija bruto 0101" measure="1" displayFolder="" measureGroup="Statistike po premijskim grupama" count="0"/>
    <cacheHierarchy uniqueName="[Measures].[211_Stanje prijenosnih premija bruto 3112]" caption="211_Stanje prijenosnih premija bruto 3112" measure="1" displayFolder="" measureGroup="Statistike po premijskim grupama" count="0"/>
    <cacheHierarchy uniqueName="[Measures].[212_Broj likvidiranih šteta osobe]" caption="212_Broj likvidiranih šteta osobe" measure="1" displayFolder="" measureGroup="Statistike po premijskim grupama" count="0"/>
    <cacheHierarchy uniqueName="[Measures].[212_Broj likvidiranih šteta stvari]" caption="212_Broj likvidiranih šteta stvari" measure="1" displayFolder="" measureGroup="Statistike po premijskim grupama" count="0"/>
    <cacheHierarchy uniqueName="[Measures].[212_Likvidirane šete bruto iznos odštete osobe]" caption="212_Likvidirane šete bruto iznos odštete osobe" measure="1" displayFolder="" measureGroup="Statistike po premijskim grupama" count="0"/>
    <cacheHierarchy uniqueName="[Measures].[212_Likvidirane šete bruto iznos odštete stvari]" caption="212_Likvidirane šete bruto iznos odštete stvari" measure="1" displayFolder="" measureGroup="Statistike po premijskim grupama" count="0"/>
    <cacheHierarchy uniqueName="[Measures].[212_Pričuva 3112  broj šteta na osobama]" caption="212_Pričuva 3112  broj šteta na osobama" measure="1" displayFolder="" measureGroup="Statistike po premijskim grupama" count="0"/>
    <cacheHierarchy uniqueName="[Measures].[212_Pričuva 3112  broj šteta na stvarima]" caption="212_Pričuva 3112  broj šteta na stvarima" measure="1" displayFolder="" measureGroup="Statistike po premijskim grupama" count="0"/>
    <cacheHierarchy uniqueName="[Measures].[212_Pričuva 3112 rezervirani bruto iznosi odšteta osobe]" caption="212_Pričuva 3112 rezervirani bruto iznosi odšteta osobe" measure="1" displayFolder="" measureGroup="Statistike po premijskim grupama" count="0"/>
    <cacheHierarchy uniqueName="[Measures].[212_Pričuva 3112 rezervirani bruto iznosi odšteta stvari]" caption="212_Pričuva 3112 rezervirani bruto iznosi odšteta stvari" measure="1" displayFolder="" measureGroup="Statistike po premijskim grupama" count="0"/>
    <cacheHierarchy uniqueName="[Measures].[12_Ostale osigurateljno tehničke pričuve bruto]" caption="12_Ostale osigurateljno tehničke pričuve bruto" measure="1" displayFolder="" measureGroup="Ostale osigurateljno tehničke pričuve" count="0"/>
    <cacheHierarchy uniqueName="[Measures].[12_Ostale osigurateljno tehničke pričuve udio reosiguranja]" caption="12_Ostale osigurateljno tehničke pričuve udio reosiguranja" measure="1" displayFolder="" measureGroup="Ostale osigurateljno tehničke pričuve" count="0"/>
    <cacheHierarchy uniqueName="[Measures].[14_Prijenosna premija neto od reosiguranja]" caption="14_Prijenosna premija neto od reosiguranja" measure="1" displayFolder="" measureGroup="Obračun učinka osigurateljno tehničkih pričuva" count="0"/>
    <cacheHierarchy uniqueName="[Measures].[14_Pričuve šteta neto od reosiguranja]" caption="14_Pričuve šteta neto od reosiguranja" measure="1" displayFolder="" measureGroup="Obračun učinka osigurateljno tehničkih pričuva" count="0"/>
    <cacheHierarchy uniqueName="[Measures].[14_Pričuve za bonuse i popuste neto od reosiguranja]" caption="14_Pričuve za bonuse i popuste neto od reosiguranja" measure="1" displayFolder="" measureGroup="Obračun učinka osigurateljno tehničkih pričuva" count="0"/>
    <cacheHierarchy uniqueName="[Measures].[14_Matematičke pricuve neto od reosiguranj]" caption="14_Matematičke pricuve neto od reosiguranj" measure="1" displayFolder="" measureGroup="Obračun učinka osigurateljno tehničkih pričuva" count="0"/>
    <cacheHierarchy uniqueName="[Measures].[14_Ostale osigurateljno tehničke pricuve neto od reosiguranja]" caption="14_Ostale osigurateljno tehničke pricuve neto od reosiguranja" measure="1" displayFolder="" measureGroup="Obračun učinka osigurateljno tehničkih pričuva" count="0"/>
    <cacheHierarchy uniqueName="[Measures].[24_Bruto premija]" caption="24_Bruto premija" measure="1" displayFolder="" measureGroup="Prodajni kanali" count="0"/>
    <cacheHierarchy uniqueName="[Measures].[23_Broj uposlenih]" caption="23_Broj uposlenih" measure="1" displayFolder="" measureGroup="Struktura uposlenih" count="0"/>
    <cacheHierarchy uniqueName="[Measures].[23_Prosječan broj uposlenih]" caption="23_Prosječan broj uposlenih" measure="1" displayFolder="" measureGroup="Struktura uposlenih prosjek" count="0"/>
    <cacheHierarchy uniqueName="[Measures].[23_Broj uposlenih na pribavi osiguranja]" caption="23_Broj uposlenih na pribavi osiguranja" measure="1" displayFolder="" measureGroup="Struktura uposlenih prosjek" count="0"/>
    <cacheHierarchy uniqueName="[Measures].[23_Broj uposlenih na likvidaciji šteta]" caption="23_Broj uposlenih na likvidaciji šteta" measure="1" displayFolder="" measureGroup="Struktura uposlenih prosjek" count="0"/>
    <cacheHierarchy uniqueName="[Measures].[4_Iznos zaračunate premije životnog osiguranja]" caption="4_Iznos zaračunate premije životnog osiguranja" measure="1" displayFolder="" measureGroup="Zaračunata premija životnih osiguranja" count="0"/>
    <cacheHierarchy uniqueName="[Measures].[Dostavljeno]" caption="Dostavljeno" measure="1" displayFolder="" measureGroup="HUOS dostava podataka" count="0"/>
    <cacheHierarchy uniqueName="[Measures].[Dostavljeno  AO1]" caption="Dostavljeno  AO1" measure="1" displayFolder="" measureGroup="AO1" count="0"/>
    <cacheHierarchy uniqueName="[Measures].[Dostavljeno  AO2]" caption="Dostavljeno  AO2" measure="1" displayFolder="" measureGroup="AO2" count="0"/>
    <cacheHierarchy uniqueName="[Measures].[Dostavljeno  AO3]" caption="Dostavljeno  AO3" measure="1" displayFolder="" measureGroup="AO3" count="0"/>
    <cacheHierarchy uniqueName="[Measures].[Zaračunata bruto premija novih osiguranja s višekratnim plaćanjem premije]" caption="Zaračunata bruto premija novih osiguranja s višekratnim plaćanjem premije" measure="1" displayFolder="" measureGroup="HUOS" count="0"/>
    <cacheHierarchy uniqueName="[Measures].[Broj novih osiguranja s višekratnim plaćanjem premije]" caption="Broj novih osiguranja s višekratnim plaćanjem premije" measure="1" displayFolder="" measureGroup="HUOS" count="0"/>
    <cacheHierarchy uniqueName="[Measures].[Zaračunata bruto premija novih osiguranja s jednokratnim plaćanjem premije]" caption="Zaračunata bruto premija novih osiguranja s jednokratnim plaćanjem premije" measure="1" displayFolder="" measureGroup="HUOS" count="0"/>
    <cacheHierarchy uniqueName="[Measures].[Broj novih osiguranja s jednokratnim plaćanjem premije]" caption="Broj novih osiguranja s jednokratnim plaćanjem premije" measure="1" displayFolder="" measureGroup="HUOS" count="0"/>
    <cacheHierarchy uniqueName="[Measures].[RDG Iznos]" caption="RDG Iznos" measure="1" displayFolder="" measureGroup="RDG" count="0"/>
    <cacheHierarchy uniqueName="[Measures].[Broj osiguranja 070809]" caption="Broj osiguranja 070809" measure="1" displayFolder="Kalkulirane mjere" measureGroup="Rizici" count="0"/>
    <cacheHierarchy uniqueName="[Measures].[Zaračunata bruto premija osiguranja 070809]" caption="Zaračunata bruto premija osiguranja 070809" measure="1" displayFolder="Kalkulirane mjere" measureGroup="Rizici" count="0"/>
    <cacheHierarchy uniqueName="[Measures].[Broj osiguranja 070809 RT]" caption="Broj osiguranja 070809 RT" measure="1" displayFolder="Kalkulirane mjere" measureGroup="Rizici" count="0"/>
    <cacheHierarchy uniqueName="[Measures].[Zaračunata bruto premija osiguranja 070809 RT]" caption="Zaračunata bruto premija osiguranja 070809 RT" measure="1" displayFolder="Kalkulirane mjere" measureGroup="Rizici" count="0"/>
    <cacheHierarchy uniqueName="[Measures].[Broj osiguranja- rizici RT]" caption="Broj osiguranja- rizici RT" measure="1" displayFolder="KAlkulirane mjere" measureGroup="Rizici" count="0"/>
    <cacheHierarchy uniqueName="[Measures].[Broj šteta - rizici RT]" caption="Broj šteta - rizici RT" measure="1" displayFolder="Kalkulirane mjere" measureGroup="Rizici" count="0"/>
    <cacheHierarchy uniqueName="[Measures].[Zaračunata bruto premija osiguranja- rizici RT]" caption="Zaračunata bruto premija osiguranja- rizici RT" measure="1" displayFolder="Kalkulirane mjere" measureGroup="Rizici" count="0"/>
    <cacheHierarchy uniqueName="[Measures].[Likvidirane štete bruto - rizici RT]" caption="Likvidirane štete bruto - rizici RT" measure="1" displayFolder="Kalkulirane mjere" measureGroup="Rizici" count="0"/>
    <cacheHierarchy uniqueName="[Measures].[Broj stavki bilance]" caption="Broj stavki bilance" measure="1" displayFolder="" measureGroup="Bilanca" count="0" hidden="1"/>
  </cacheHierarchies>
  <kpis count="0"/>
  <tupleCache>
    <entries count="1575">
      <n v="40464519.18" in="0">
        <tpls c="5">
          <tpl fld="4" item="0"/>
          <tpl fld="8" item="0"/>
          <tpl fld="9" item="0"/>
          <tpl fld="10" item="0"/>
          <tpl hier="64" item="0"/>
        </tpls>
      </n>
      <n v="4422318.25" in="0">
        <tpls c="5">
          <tpl fld="4" item="10"/>
          <tpl fld="8" item="0"/>
          <tpl fld="9" item="0"/>
          <tpl hier="60" item="4294967295"/>
          <tpl hier="64" item="0"/>
        </tpls>
      </n>
      <n v="478186.36000000004" in="0">
        <tpls c="4">
          <tpl fld="8" item="0"/>
          <tpl fld="9" item="1"/>
          <tpl fld="2" item="12"/>
          <tpl hier="64" item="0"/>
        </tpls>
      </n>
      <n v="168368.94" in="0">
        <tpls c="5">
          <tpl fld="4" item="8"/>
          <tpl fld="8" item="0"/>
          <tpl fld="9" item="0"/>
          <tpl hier="60" item="4294967295"/>
          <tpl hier="64" item="0"/>
        </tpls>
      </n>
      <n v="118556922.24000002" in="0">
        <tpls c="5">
          <tpl fld="4" item="9"/>
          <tpl fld="8" item="0"/>
          <tpl fld="9" item="0"/>
          <tpl fld="10" item="1"/>
          <tpl hier="64" item="0"/>
        </tpls>
      </n>
      <m>
        <tpls c="4">
          <tpl fld="8" item="0"/>
          <tpl fld="9" item="2"/>
          <tpl fld="7" item="4"/>
          <tpl hier="64" item="0"/>
        </tpls>
      </m>
      <m>
        <tpls c="4">
          <tpl fld="8" item="0"/>
          <tpl fld="9" item="3"/>
          <tpl fld="7" item="8"/>
          <tpl hier="64" item="0"/>
        </tpls>
      </m>
      <m>
        <tpls c="4">
          <tpl fld="8" item="0"/>
          <tpl fld="9" item="2"/>
          <tpl fld="7" item="8"/>
          <tpl hier="64" item="0"/>
        </tpls>
      </m>
      <n v="594" in="1">
        <tpls c="4">
          <tpl fld="8" item="0"/>
          <tpl fld="9" item="4"/>
          <tpl fld="2" item="4"/>
          <tpl hier="64" item="0"/>
        </tpls>
      </n>
      <n v="24587079.490000002" in="0">
        <tpls c="4">
          <tpl fld="8" item="0"/>
          <tpl fld="9" item="0"/>
          <tpl fld="2" item="4"/>
          <tpl hier="64" item="0"/>
        </tpls>
      </n>
      <n v="2534" in="1">
        <tpls c="4">
          <tpl fld="8" item="0"/>
          <tpl fld="9" item="4"/>
          <tpl fld="2" item="5"/>
          <tpl hier="64" item="0"/>
        </tpls>
      </n>
      <m>
        <tpls c="4">
          <tpl fld="8" item="0"/>
          <tpl fld="9" item="3"/>
          <tpl fld="7" item="6"/>
          <tpl hier="64" item="0"/>
        </tpls>
      </m>
      <m>
        <tpls c="4">
          <tpl fld="8" item="0"/>
          <tpl fld="9" item="3"/>
          <tpl fld="7" item="5"/>
          <tpl hier="64" item="0"/>
        </tpls>
      </m>
      <n v="2532933.8200000003" in="0">
        <tpls c="5">
          <tpl fld="4" item="3"/>
          <tpl fld="8" item="0"/>
          <tpl fld="9" item="0"/>
          <tpl fld="10" item="0"/>
          <tpl hier="64" item="0"/>
        </tpls>
      </n>
      <n v="0" in="1">
        <tpls c="4">
          <tpl fld="8" item="0"/>
          <tpl fld="9" item="5"/>
          <tpl fld="2" item="3"/>
          <tpl hier="64" item="0"/>
        </tpls>
      </n>
      <n v="0" in="0">
        <tpls c="5">
          <tpl fld="4" item="3"/>
          <tpl fld="8" item="0"/>
          <tpl fld="9" item="0"/>
          <tpl fld="10" item="1"/>
          <tpl hier="64" item="0"/>
        </tpls>
      </n>
      <n v="6565" in="1">
        <tpls c="4">
          <tpl fld="8" item="0"/>
          <tpl fld="9" item="4"/>
          <tpl fld="2" item="16"/>
          <tpl hier="64" item="0"/>
        </tpls>
      </n>
      <n v="156186" in="1">
        <tpls c="5">
          <tpl fld="4" item="14"/>
          <tpl fld="8" item="0"/>
          <tpl fld="9" item="5"/>
          <tpl hier="54" item="4294967295"/>
          <tpl hier="64" item="0"/>
        </tpls>
      </n>
      <n v="69047563.719999999" in="0">
        <tpls c="5">
          <tpl fld="4" item="14"/>
          <tpl fld="8" item="0"/>
          <tpl fld="9" item="0"/>
          <tpl hier="60" item="4294967295"/>
          <tpl hier="64" item="0"/>
        </tpls>
      </n>
      <m>
        <tpls c="4">
          <tpl fld="8" item="0"/>
          <tpl fld="9" item="3"/>
          <tpl fld="7" item="9"/>
          <tpl hier="64" item="0"/>
        </tpls>
      </m>
      <m>
        <tpls c="5">
          <tpl fld="4" item="15"/>
          <tpl fld="8" item="0"/>
          <tpl fld="9" item="0"/>
          <tpl fld="10" item="1"/>
          <tpl hier="64" item="0"/>
        </tpls>
      </m>
      <m>
        <tpls c="4">
          <tpl fld="8" item="0"/>
          <tpl fld="9" item="2"/>
          <tpl fld="7" item="10"/>
          <tpl hier="64" item="0"/>
        </tpls>
      </m>
      <n v="7396" in="1">
        <tpls c="5">
          <tpl fld="4" item="20"/>
          <tpl fld="8" item="0"/>
          <tpl fld="9" item="5"/>
          <tpl hier="54" item="4294967295"/>
          <tpl hier="64" item="0"/>
        </tpls>
      </n>
      <m>
        <tpls c="5">
          <tpl fld="4" item="21"/>
          <tpl fld="8" item="0"/>
          <tpl fld="9" item="5"/>
          <tpl fld="1" item="1"/>
          <tpl hier="64" item="0"/>
        </tpls>
      </m>
      <m>
        <tpls c="4">
          <tpl fld="8" item="0"/>
          <tpl fld="9" item="2"/>
          <tpl fld="7" item="9"/>
          <tpl hier="64" item="0"/>
        </tpls>
      </m>
      <n v="84326" in="1">
        <tpls c="5">
          <tpl fld="4" item="12"/>
          <tpl fld="8" item="0"/>
          <tpl fld="9" item="5"/>
          <tpl hier="54" item="4294967295"/>
          <tpl hier="64" item="0"/>
        </tpls>
      </n>
      <n v="11198183" in="0">
        <tpls c="5">
          <tpl fld="4" item="1"/>
          <tpl fld="8" item="0"/>
          <tpl fld="9" item="0"/>
          <tpl fld="10" item="1"/>
          <tpl hier="64" item="0"/>
        </tpls>
      </n>
      <m>
        <tpls c="4">
          <tpl fld="8" item="0"/>
          <tpl fld="9" item="6"/>
          <tpl fld="7" item="8"/>
          <tpl hier="64" item="0"/>
        </tpls>
      </m>
      <m>
        <tpls c="4">
          <tpl fld="8" item="0"/>
          <tpl fld="9" item="7"/>
          <tpl fld="7" item="8"/>
          <tpl hier="64" item="0"/>
        </tpls>
      </m>
      <m>
        <tpls c="4">
          <tpl fld="8" item="0"/>
          <tpl fld="9" item="7"/>
          <tpl fld="7" item="0"/>
          <tpl hier="64" item="0"/>
        </tpls>
      </m>
      <n v="14" in="1">
        <tpls c="4">
          <tpl fld="8" item="0"/>
          <tpl fld="9" item="5"/>
          <tpl fld="2" item="18"/>
          <tpl hier="64" item="0"/>
        </tpls>
      </n>
      <m>
        <tpls c="4">
          <tpl fld="8" item="0"/>
          <tpl fld="9" item="6"/>
          <tpl fld="7" item="1"/>
          <tpl hier="64" item="0"/>
        </tpls>
      </m>
      <m>
        <tpls c="4">
          <tpl fld="8" item="0"/>
          <tpl fld="9" item="7"/>
          <tpl fld="7" item="1"/>
          <tpl hier="64" item="0"/>
        </tpls>
      </m>
      <n v="38587374.959999993" in="0">
        <tpls c="5">
          <tpl fld="4" item="17"/>
          <tpl fld="8" item="0"/>
          <tpl fld="9" item="0"/>
          <tpl hier="60" item="4294967295"/>
          <tpl hier="64" item="0"/>
        </tpls>
      </n>
      <n v="9840262.1499999985" in="0">
        <tpls c="5">
          <tpl fld="4" item="12"/>
          <tpl fld="8" item="0"/>
          <tpl fld="9" item="0"/>
          <tpl fld="10" item="0"/>
          <tpl hier="64" item="0"/>
        </tpls>
      </n>
      <m>
        <tpls c="4">
          <tpl fld="8" item="0"/>
          <tpl fld="9" item="7"/>
          <tpl fld="7" item="3"/>
          <tpl hier="64" item="0"/>
        </tpls>
      </m>
      <n v="23238" in="1">
        <tpls c="5">
          <tpl fld="4" item="21"/>
          <tpl fld="8" item="0"/>
          <tpl fld="9" item="5"/>
          <tpl fld="1" item="0"/>
          <tpl hier="64" item="0"/>
        </tpls>
      </n>
      <n v="315" in="1">
        <tpls c="4">
          <tpl fld="8" item="0"/>
          <tpl fld="9" item="4"/>
          <tpl fld="2" item="7"/>
          <tpl hier="64" item="0"/>
        </tpls>
      </n>
      <n v="15718" in="1">
        <tpls c="5">
          <tpl fld="4" item="17"/>
          <tpl fld="8" item="0"/>
          <tpl fld="9" item="5"/>
          <tpl fld="1" item="1"/>
          <tpl hier="64" item="0"/>
        </tpls>
      </n>
      <n v="10638328.770000001" in="0">
        <tpls c="4">
          <tpl fld="8" item="0"/>
          <tpl fld="9" item="0"/>
          <tpl fld="2" item="13"/>
          <tpl hier="64" item="0"/>
        </tpls>
      </n>
      <n v="106147328.32999998" in="0">
        <tpls c="4">
          <tpl fld="8" item="0"/>
          <tpl fld="9" item="0"/>
          <tpl fld="2" item="5"/>
          <tpl hier="64" item="0"/>
        </tpls>
      </n>
      <n v="24845491.599999998" in="0">
        <tpls c="4">
          <tpl fld="8" item="0"/>
          <tpl fld="9" item="0"/>
          <tpl fld="2" item="2"/>
          <tpl hier="64" item="0"/>
        </tpls>
      </n>
      <m>
        <tpls c="5">
          <tpl fld="4" item="20"/>
          <tpl fld="8" item="0"/>
          <tpl fld="9" item="5"/>
          <tpl fld="1" item="0"/>
          <tpl hier="64" item="0"/>
        </tpls>
      </m>
      <m>
        <tpls c="4">
          <tpl fld="8" item="0"/>
          <tpl fld="9" item="3"/>
          <tpl fld="7" item="4"/>
          <tpl hier="64" item="0"/>
        </tpls>
      </m>
      <n v="1173000883.6500003" in="0">
        <tpls c="5">
          <tpl hier="22" item="4294967295"/>
          <tpl fld="8" item="0"/>
          <tpl fld="9" item="0"/>
          <tpl fld="10" item="1"/>
          <tpl hier="64" item="0"/>
        </tpls>
      </n>
      <m>
        <tpls c="4">
          <tpl fld="8" item="0"/>
          <tpl fld="9" item="2"/>
          <tpl fld="7" item="5"/>
          <tpl hier="64" item="0"/>
        </tpls>
      </m>
      <n v="1662116880.1800003" in="0">
        <tpls c="5">
          <tpl hier="22" item="4294967295"/>
          <tpl fld="8" item="0"/>
          <tpl fld="9" item="0"/>
          <tpl hier="60" item="4294967295"/>
          <tpl hier="64" item="0"/>
        </tpls>
      </n>
      <n v="2532933.8200000003" in="0">
        <tpls c="5">
          <tpl fld="4" item="3"/>
          <tpl fld="8" item="0"/>
          <tpl fld="9" item="0"/>
          <tpl hier="60" item="4294967295"/>
          <tpl hier="64" item="0"/>
        </tpls>
      </n>
      <m>
        <tpls c="4">
          <tpl fld="8" item="0"/>
          <tpl fld="9" item="7"/>
          <tpl fld="7" item="2"/>
          <tpl hier="64" item="0"/>
        </tpls>
      </m>
      <m>
        <tpls c="5">
          <tpl fld="4" item="18"/>
          <tpl fld="8" item="0"/>
          <tpl fld="9" item="0"/>
          <tpl fld="10" item="1"/>
          <tpl hier="64" item="0"/>
        </tpls>
      </m>
      <m>
        <tpls c="4">
          <tpl fld="8" item="0"/>
          <tpl fld="9" item="7"/>
          <tpl fld="7" item="6"/>
          <tpl hier="64" item="0"/>
        </tpls>
      </m>
      <n v="5442701.4799999995" in="0">
        <tpls c="5">
          <tpl fld="4" item="5"/>
          <tpl fld="8" item="0"/>
          <tpl fld="9" item="0"/>
          <tpl hier="60" item="4294967295"/>
          <tpl hier="64" item="0"/>
        </tpls>
      </n>
      <n v="44747109.129999995" in="0">
        <tpls c="5">
          <tpl fld="4" item="11"/>
          <tpl fld="8" item="0"/>
          <tpl fld="9" item="0"/>
          <tpl fld="10" item="1"/>
          <tpl hier="64" item="0"/>
        </tpls>
      </n>
      <m>
        <tpls c="4">
          <tpl fld="8" item="0"/>
          <tpl fld="9" item="7"/>
          <tpl fld="7" item="9"/>
          <tpl hier="64" item="0"/>
        </tpls>
      </m>
      <n v="0" in="1">
        <tpls c="4">
          <tpl fld="8" item="0"/>
          <tpl fld="9" item="5"/>
          <tpl fld="2" item="0"/>
          <tpl hier="64" item="0"/>
        </tpls>
      </n>
      <n v="113388" in="1">
        <tpls c="5">
          <tpl fld="4" item="2"/>
          <tpl fld="8" item="0"/>
          <tpl fld="9" item="5"/>
          <tpl fld="1" item="1"/>
          <tpl hier="64" item="0"/>
        </tpls>
      </n>
      <n v="3562453.76" in="0">
        <tpls c="5">
          <tpl fld="4" item="15"/>
          <tpl fld="8" item="0"/>
          <tpl fld="9" item="0"/>
          <tpl hier="60" item="4294967295"/>
          <tpl hier="64" item="0"/>
        </tpls>
      </n>
      <n v="50822778.200000003" in="0">
        <tpls c="5">
          <tpl fld="4" item="14"/>
          <tpl fld="8" item="0"/>
          <tpl fld="9" item="0"/>
          <tpl fld="10" item="1"/>
          <tpl hier="64" item="0"/>
        </tpls>
      </n>
      <n v="0" in="0">
        <tpls c="4">
          <tpl fld="8" item="0"/>
          <tpl fld="9" item="0"/>
          <tpl fld="2" item="3"/>
          <tpl hier="64" item="0"/>
        </tpls>
      </n>
      <m>
        <tpls c="4">
          <tpl fld="8" item="0"/>
          <tpl fld="9" item="6"/>
          <tpl fld="7" item="10"/>
          <tpl hier="64" item="0"/>
        </tpls>
      </m>
      <n v="45090377.700000003" in="0">
        <tpls c="5">
          <tpl fld="4" item="11"/>
          <tpl fld="8" item="0"/>
          <tpl fld="9" item="0"/>
          <tpl fld="10" item="0"/>
          <tpl hier="64" item="0"/>
        </tpls>
      </n>
      <m>
        <tpls c="4">
          <tpl fld="8" item="0"/>
          <tpl fld="9" item="6"/>
          <tpl fld="7" item="2"/>
          <tpl hier="64" item="0"/>
        </tpls>
      </m>
      <m>
        <tpls c="4">
          <tpl fld="8" item="0"/>
          <tpl fld="9" item="6"/>
          <tpl fld="7" item="4"/>
          <tpl hier="64" item="0"/>
        </tpls>
      </m>
      <n v="118556922.24000002" in="0">
        <tpls c="5">
          <tpl fld="4" item="9"/>
          <tpl fld="8" item="0"/>
          <tpl fld="9" item="0"/>
          <tpl hier="60" item="4294967295"/>
          <tpl hier="64" item="0"/>
        </tpls>
      </n>
      <n v="68166.91" in="0">
        <tpls c="4">
          <tpl fld="8" item="0"/>
          <tpl fld="9" item="0"/>
          <tpl fld="2" item="19"/>
          <tpl hier="64" item="0"/>
        </tpls>
      </n>
      <n v="0" in="1">
        <tpls c="4">
          <tpl fld="8" item="0"/>
          <tpl fld="9" item="4"/>
          <tpl fld="2" item="18"/>
          <tpl hier="64" item="0"/>
        </tpls>
      </n>
      <m>
        <tpls c="5">
          <tpl fld="4" item="22"/>
          <tpl fld="8" item="0"/>
          <tpl fld="9" item="0"/>
          <tpl fld="10" item="0"/>
          <tpl hier="64" item="0"/>
        </tpls>
      </m>
      <n v="0" in="1">
        <tpls c="5">
          <tpl fld="4" item="9"/>
          <tpl fld="8" item="0"/>
          <tpl fld="9" item="5"/>
          <tpl fld="1" item="0"/>
          <tpl hier="64" item="0"/>
        </tpls>
      </n>
      <n v="0" in="0">
        <tpls c="5">
          <tpl fld="4" item="4"/>
          <tpl fld="8" item="0"/>
          <tpl fld="9" item="0"/>
          <tpl fld="10" item="0"/>
          <tpl hier="64" item="0"/>
        </tpls>
      </n>
      <n v="1816" in="1">
        <tpls c="4">
          <tpl fld="8" item="0"/>
          <tpl fld="9" item="5"/>
          <tpl fld="2" item="11"/>
          <tpl hier="64" item="0"/>
        </tpls>
      </n>
      <n v="1907392.98" in="0">
        <tpls c="4">
          <tpl fld="8" item="0"/>
          <tpl fld="9" item="1"/>
          <tpl fld="2" item="13"/>
          <tpl hier="64" item="0"/>
        </tpls>
      </n>
      <n v="110331" in="1">
        <tpls c="4">
          <tpl fld="8" item="0"/>
          <tpl fld="9" item="5"/>
          <tpl fld="2" item="22"/>
          <tpl hier="64" item="0"/>
        </tpls>
      </n>
      <n v="1173000883.6500003" in="0">
        <tpls c="4">
          <tpl fld="8" item="0"/>
          <tpl fld="9" item="0"/>
          <tpl fld="1" item="1"/>
          <tpl hier="64" item="0"/>
        </tpls>
      </n>
      <n v="489115996.52999991" in="0">
        <tpls c="5">
          <tpl hier="22" item="4294967295"/>
          <tpl fld="8" item="0"/>
          <tpl fld="9" item="0"/>
          <tpl fld="10" item="0"/>
          <tpl hier="64" item="0"/>
        </tpls>
      </n>
      <n v="467963716.03000015" in="0">
        <tpls c="5">
          <tpl fld="4" item="13"/>
          <tpl fld="8" item="0"/>
          <tpl fld="9" item="0"/>
          <tpl fld="10" item="1"/>
          <tpl hier="64" item="0"/>
        </tpls>
      </n>
      <n v="0" in="1">
        <tpls c="4">
          <tpl fld="8" item="0"/>
          <tpl fld="9" item="4"/>
          <tpl fld="2" item="3"/>
          <tpl hier="64" item="0"/>
        </tpls>
      </n>
      <m>
        <tpls c="4">
          <tpl fld="8" item="0"/>
          <tpl fld="9" item="6"/>
          <tpl fld="7" item="7"/>
          <tpl hier="64" item="0"/>
        </tpls>
      </m>
      <n v="1483373" in="1">
        <tpls c="4">
          <tpl fld="8" item="0"/>
          <tpl fld="9" item="5"/>
          <tpl fld="1" item="0"/>
          <tpl hier="64" item="0"/>
        </tpls>
      </n>
      <n v="8943621.3900000006" in="0">
        <tpls c="5">
          <tpl fld="4" item="4"/>
          <tpl fld="8" item="0"/>
          <tpl fld="9" item="0"/>
          <tpl fld="10" item="1"/>
          <tpl hier="64" item="0"/>
        </tpls>
      </n>
      <m>
        <tpls c="4">
          <tpl fld="8" item="0"/>
          <tpl fld="9" item="3"/>
          <tpl fld="7" item="7"/>
          <tpl hier="64" item="0"/>
        </tpls>
      </m>
      <n v="9972995.4900000002" in="0">
        <tpls c="5">
          <tpl fld="4" item="22"/>
          <tpl fld="8" item="0"/>
          <tpl fld="9" item="0"/>
          <tpl hier="60" item="4294967295"/>
          <tpl hier="64" item="0"/>
        </tpls>
      </n>
      <n v="4422318.25" in="0">
        <tpls c="5">
          <tpl fld="4" item="10"/>
          <tpl fld="8" item="0"/>
          <tpl fld="9" item="0"/>
          <tpl fld="10" item="1"/>
          <tpl hier="64" item="0"/>
        </tpls>
      </n>
      <n v="74663" in="1">
        <tpls c="5">
          <tpl fld="4" item="7"/>
          <tpl fld="8" item="0"/>
          <tpl fld="9" item="5"/>
          <tpl hier="54" item="4294967295"/>
          <tpl hier="64" item="0"/>
        </tpls>
      </n>
      <n v="12153" in="1">
        <tpls c="4">
          <tpl fld="8" item="0"/>
          <tpl fld="9" item="4"/>
          <tpl fld="2" item="6"/>
          <tpl hier="64" item="0"/>
        </tpls>
      </n>
      <m>
        <tpls c="4">
          <tpl fld="8" item="0"/>
          <tpl fld="9" item="2"/>
          <tpl fld="7" item="6"/>
          <tpl hier="64" item="0"/>
        </tpls>
      </m>
      <n v="102327997.24000001" in="0">
        <tpls c="5">
          <tpl fld="4" item="0"/>
          <tpl fld="8" item="0"/>
          <tpl fld="9" item="0"/>
          <tpl hier="60" item="4294967295"/>
          <tpl hier="64" item="0"/>
        </tpls>
      </n>
      <m>
        <tpls c="4">
          <tpl fld="8" item="0"/>
          <tpl fld="9" item="6"/>
          <tpl fld="7" item="6"/>
          <tpl hier="64" item="0"/>
        </tpls>
      </m>
      <n v="168368.94" in="0">
        <tpls c="5">
          <tpl fld="4" item="8"/>
          <tpl fld="8" item="0"/>
          <tpl fld="9" item="0"/>
          <tpl fld="10" item="0"/>
          <tpl hier="64" item="0"/>
        </tpls>
      </n>
      <n v="1715653.9100000001" in="0">
        <tpls c="5">
          <tpl fld="4" item="6"/>
          <tpl fld="8" item="0"/>
          <tpl fld="9" item="0"/>
          <tpl fld="10" item="1"/>
          <tpl hier="64" item="0"/>
        </tpls>
      </n>
      <n v="79052" in="1">
        <tpls c="5">
          <tpl fld="4" item="14"/>
          <tpl fld="8" item="0"/>
          <tpl fld="9" item="5"/>
          <tpl fld="1" item="0"/>
          <tpl hier="64" item="0"/>
        </tpls>
      </n>
      <n v="0" in="0">
        <tpls c="5">
          <tpl fld="4" item="6"/>
          <tpl fld="8" item="0"/>
          <tpl fld="9" item="0"/>
          <tpl fld="10" item="0"/>
          <tpl hier="64" item="0"/>
        </tpls>
      </n>
      <n v="75056729.280000001" in="0">
        <tpls c="4">
          <tpl fld="8" item="0"/>
          <tpl fld="9" item="0"/>
          <tpl fld="2" item="23"/>
          <tpl hier="64" item="0"/>
        </tpls>
      </n>
      <m>
        <tpls c="4">
          <tpl fld="8" item="0"/>
          <tpl fld="9" item="7"/>
          <tpl fld="7" item="5"/>
          <tpl hier="64" item="0"/>
        </tpls>
      </m>
      <n v="161878" in="1">
        <tpls c="5">
          <tpl fld="4" item="11"/>
          <tpl fld="8" item="0"/>
          <tpl fld="9" item="5"/>
          <tpl hier="54" item="4294967295"/>
          <tpl hier="64" item="0"/>
        </tpls>
      </n>
      <n v="33" in="1">
        <tpls c="4">
          <tpl fld="8" item="0"/>
          <tpl fld="9" item="4"/>
          <tpl fld="2" item="1"/>
          <tpl hier="64" item="0"/>
        </tpls>
      </n>
      <n v="42143" in="1">
        <tpls c="4">
          <tpl fld="8" item="0"/>
          <tpl fld="9" item="5"/>
          <tpl fld="2" item="2"/>
          <tpl hier="64" item="0"/>
        </tpls>
      </n>
      <n v="489115996.53000003" in="0">
        <tpls c="4">
          <tpl fld="8" item="0"/>
          <tpl fld="9" item="0"/>
          <tpl fld="1" item="0"/>
          <tpl hier="64" item="0"/>
        </tpls>
      </n>
      <n v="343269" in="1">
        <tpls c="4">
          <tpl fld="8" item="0"/>
          <tpl fld="9" item="4"/>
          <tpl fld="1" item="1"/>
          <tpl hier="64" item="0"/>
        </tpls>
      </n>
      <n v="30262963.919999998" in="0">
        <tpls c="4">
          <tpl fld="8" item="0"/>
          <tpl fld="9" item="1"/>
          <tpl fld="2" item="15"/>
          <tpl hier="64" item="0"/>
        </tpls>
      </n>
      <n v="102266" in="1">
        <tpls c="5">
          <tpl fld="4" item="23"/>
          <tpl fld="8" item="0"/>
          <tpl fld="9" item="5"/>
          <tpl fld="1" item="1"/>
          <tpl hier="64" item="0"/>
        </tpls>
      </n>
      <n v="61863478.06000001" in="0">
        <tpls c="5">
          <tpl fld="4" item="0"/>
          <tpl fld="8" item="0"/>
          <tpl fld="9" item="0"/>
          <tpl fld="10" item="1"/>
          <tpl hier="64" item="0"/>
        </tpls>
      </n>
      <n v="5044" in="1">
        <tpls c="5">
          <tpl fld="4" item="4"/>
          <tpl fld="8" item="0"/>
          <tpl fld="9" item="5"/>
          <tpl hier="54" item="4294967295"/>
          <tpl hier="64" item="0"/>
        </tpls>
      </n>
      <m>
        <tpls c="4">
          <tpl fld="8" item="0"/>
          <tpl fld="9" item="7"/>
          <tpl fld="7" item="7"/>
          <tpl hier="64" item="0"/>
        </tpls>
      </m>
      <n v="169690895.12999997" in="0">
        <tpls c="4">
          <tpl fld="8" item="0"/>
          <tpl fld="9" item="0"/>
          <tpl fld="2" item="20"/>
          <tpl hier="64" item="0"/>
        </tpls>
      </n>
      <n v="5044" in="1">
        <tpls c="5">
          <tpl fld="4" item="4"/>
          <tpl fld="8" item="0"/>
          <tpl fld="9" item="5"/>
          <tpl fld="1" item="1"/>
          <tpl hier="64" item="0"/>
        </tpls>
      </n>
      <n v="0" in="1">
        <tpls c="5">
          <tpl fld="4" item="23"/>
          <tpl fld="8" item="0"/>
          <tpl fld="9" item="5"/>
          <tpl fld="1" item="0"/>
          <tpl hier="64" item="0"/>
        </tpls>
      </n>
      <m>
        <tpls c="4">
          <tpl fld="8" item="0"/>
          <tpl fld="9" item="6"/>
          <tpl fld="7" item="5"/>
          <tpl hier="64" item="0"/>
        </tpls>
      </m>
      <n v="23238" in="1">
        <tpls c="5">
          <tpl fld="4" item="21"/>
          <tpl fld="8" item="0"/>
          <tpl fld="9" item="5"/>
          <tpl hier="54" item="4294967295"/>
          <tpl hier="64" item="0"/>
        </tpls>
      </n>
      <m>
        <tpls c="4">
          <tpl fld="8" item="0"/>
          <tpl fld="9" item="3"/>
          <tpl fld="7" item="12"/>
          <tpl hier="64" item="0"/>
        </tpls>
      </m>
      <n v="283065" in="1">
        <tpls c="4">
          <tpl fld="8" item="0"/>
          <tpl fld="9" item="4"/>
          <tpl fld="2" item="15"/>
          <tpl hier="64" item="0"/>
        </tpls>
      </n>
      <n v="7396" in="1">
        <tpls c="5">
          <tpl fld="4" item="20"/>
          <tpl fld="8" item="0"/>
          <tpl fld="9" item="5"/>
          <tpl fld="1" item="1"/>
          <tpl hier="64" item="0"/>
        </tpls>
      </n>
      <n v="8150" in="1">
        <tpls c="5">
          <tpl fld="4" item="1"/>
          <tpl fld="8" item="0"/>
          <tpl fld="9" item="5"/>
          <tpl fld="1" item="1"/>
          <tpl hier="64" item="0"/>
        </tpls>
      </n>
      <n v="3795902.6799999997" in="0">
        <tpls c="4">
          <tpl fld="8" item="0"/>
          <tpl fld="9" item="1"/>
          <tpl fld="2" item="7"/>
          <tpl hier="64" item="0"/>
        </tpls>
      </n>
      <n v="38587374.959999993" in="0">
        <tpls c="5">
          <tpl fld="4" item="17"/>
          <tpl fld="8" item="0"/>
          <tpl fld="9" item="0"/>
          <tpl fld="10" item="1"/>
          <tpl hier="64" item="0"/>
        </tpls>
      </n>
      <m>
        <tpls c="4">
          <tpl fld="8" item="0"/>
          <tpl fld="9" item="6"/>
          <tpl fld="7" item="0"/>
          <tpl hier="64" item="0"/>
        </tpls>
      </m>
      <m>
        <tpls c="4">
          <tpl fld="8" item="0"/>
          <tpl fld="9" item="2"/>
          <tpl fld="7" item="12"/>
          <tpl hier="64" item="0"/>
        </tpls>
      </m>
      <n v="167888" in="1">
        <tpls c="5">
          <tpl fld="4" item="9"/>
          <tpl fld="8" item="0"/>
          <tpl fld="9" item="5"/>
          <tpl hier="54" item="4294967295"/>
          <tpl hier="64" item="0"/>
        </tpls>
      </n>
      <m>
        <tpls c="4">
          <tpl fld="8" item="0"/>
          <tpl fld="9" item="7"/>
          <tpl fld="7" item="4"/>
          <tpl hier="64" item="0"/>
        </tpls>
      </m>
      <m>
        <tpls c="5">
          <tpl fld="4" item="17"/>
          <tpl fld="8" item="0"/>
          <tpl fld="9" item="5"/>
          <tpl fld="1" item="0"/>
          <tpl hier="64" item="0"/>
        </tpls>
      </m>
      <m>
        <tpls c="5">
          <tpl fld="4" item="16"/>
          <tpl fld="8" item="0"/>
          <tpl fld="9" item="0"/>
          <tpl fld="10" item="0"/>
          <tpl hier="64" item="0"/>
        </tpls>
      </m>
      <n v="235372346.87" in="0">
        <tpls c="4">
          <tpl fld="8" item="0"/>
          <tpl fld="9" item="1"/>
          <tpl fld="1" item="0"/>
          <tpl hier="64" item="0"/>
        </tpls>
      </n>
      <m>
        <tpls c="4">
          <tpl fld="8" item="0"/>
          <tpl fld="9" item="6"/>
          <tpl fld="7" item="11"/>
          <tpl hier="64" item="0"/>
        </tpls>
      </m>
      <n v="652602" in="1">
        <tpls c="4">
          <tpl fld="8" item="0"/>
          <tpl fld="9" item="5"/>
          <tpl fld="2" item="4"/>
          <tpl hier="64" item="0"/>
        </tpls>
      </n>
      <n v="78676" in="1">
        <tpls c="5">
          <tpl fld="4" item="5"/>
          <tpl fld="8" item="0"/>
          <tpl fld="9" item="5"/>
          <tpl hier="54" item="4294967295"/>
          <tpl hier="64" item="0"/>
        </tpls>
      </n>
      <n v="28749741.999999996" in="0">
        <tpls c="5">
          <tpl fld="4" item="16"/>
          <tpl fld="8" item="0"/>
          <tpl fld="9" item="0"/>
          <tpl fld="10" item="1"/>
          <tpl hier="64" item="0"/>
        </tpls>
      </n>
      <n v="136101" in="1">
        <tpls c="5">
          <tpl fld="4" item="19"/>
          <tpl fld="8" item="0"/>
          <tpl fld="9" item="5"/>
          <tpl fld="1" item="0"/>
          <tpl hier="64" item="0"/>
        </tpls>
      </n>
      <n v="102266" in="1">
        <tpls c="5">
          <tpl fld="4" item="23"/>
          <tpl fld="8" item="0"/>
          <tpl fld="9" item="5"/>
          <tpl hier="54" item="4294967295"/>
          <tpl hier="64" item="0"/>
        </tpls>
      </n>
      <n v="483875" in="1">
        <tpls c="5">
          <tpl fld="4" item="2"/>
          <tpl fld="8" item="0"/>
          <tpl fld="9" item="5"/>
          <tpl hier="54" item="4294967295"/>
          <tpl hier="64" item="0"/>
        </tpls>
      </n>
      <n v="48855350.569999993" in="0">
        <tpls c="4">
          <tpl fld="8" item="0"/>
          <tpl fld="9" item="1"/>
          <tpl fld="2" item="22"/>
          <tpl hier="64" item="0"/>
        </tpls>
      </n>
      <n v="834661.49" in="0">
        <tpls c="4">
          <tpl fld="8" item="0"/>
          <tpl fld="9" item="0"/>
          <tpl fld="2" item="12"/>
          <tpl hier="64" item="0"/>
        </tpls>
      </n>
      <n v="144460" in="1">
        <tpls c="5">
          <tpl fld="4" item="19"/>
          <tpl fld="8" item="0"/>
          <tpl fld="9" item="5"/>
          <tpl hier="54" item="4294967295"/>
          <tpl hier="64" item="0"/>
        </tpls>
      </n>
      <n v="90071" in="1">
        <tpls c="4">
          <tpl fld="8" item="0"/>
          <tpl fld="9" item="5"/>
          <tpl fld="2" item="20"/>
          <tpl hier="64" item="0"/>
        </tpls>
      </n>
      <n v="78861" in="1">
        <tpls c="4">
          <tpl fld="8" item="0"/>
          <tpl fld="9" item="5"/>
          <tpl fld="2" item="9"/>
          <tpl hier="64" item="0"/>
        </tpls>
      </n>
      <n v="666171108.82000005" in="0">
        <tpls c="4">
          <tpl fld="8" item="0"/>
          <tpl fld="9" item="1"/>
          <tpl hier="54" item="4294967295"/>
          <tpl hier="64" item="0"/>
        </tpls>
      </n>
      <n v="31912428.469999999" in="0">
        <tpls c="4">
          <tpl fld="8" item="0"/>
          <tpl fld="9" item="0"/>
          <tpl fld="2" item="7"/>
          <tpl hier="64" item="0"/>
        </tpls>
      </n>
      <n v="213242457.22" in="0">
        <tpls c="4">
          <tpl fld="8" item="0"/>
          <tpl fld="9" item="1"/>
          <tpl fld="2" item="16"/>
          <tpl hier="64" item="0"/>
        </tpls>
      </n>
      <n v="0" in="1">
        <tpls c="5">
          <tpl fld="4" item="5"/>
          <tpl fld="8" item="0"/>
          <tpl fld="9" item="5"/>
          <tpl fld="1" item="1"/>
          <tpl hier="64" item="0"/>
        </tpls>
      </n>
      <m>
        <tpls c="4">
          <tpl fld="8" item="0"/>
          <tpl fld="9" item="2"/>
          <tpl fld="7" item="11"/>
          <tpl hier="64" item="0"/>
        </tpls>
      </m>
      <n v="783003" in="1">
        <tpls c="4">
          <tpl fld="8" item="0"/>
          <tpl fld="9" item="5"/>
          <tpl fld="2" item="16"/>
          <tpl hier="64" item="0"/>
        </tpls>
      </n>
      <n v="148794516.10000002" in="0">
        <tpls c="4">
          <tpl fld="8" item="0"/>
          <tpl fld="9" item="0"/>
          <tpl fld="2" item="22"/>
          <tpl hier="64" item="0"/>
        </tpls>
      </n>
      <m>
        <tpls c="4">
          <tpl fld="8" item="0"/>
          <tpl fld="9" item="3"/>
          <tpl fld="7" item="14"/>
          <tpl hier="64" item="0"/>
        </tpls>
      </m>
      <n v="8359" in="1">
        <tpls c="5">
          <tpl fld="4" item="19"/>
          <tpl fld="8" item="0"/>
          <tpl fld="9" item="5"/>
          <tpl fld="1" item="1"/>
          <tpl hier="64" item="0"/>
        </tpls>
      </n>
      <n v="123698729.16" in="0">
        <tpls c="5">
          <tpl fld="4" item="13"/>
          <tpl fld="8" item="0"/>
          <tpl fld="9" item="0"/>
          <tpl fld="10" item="0"/>
          <tpl hier="64" item="0"/>
        </tpls>
      </n>
      <n v="32703" in="1">
        <tpls c="4">
          <tpl fld="8" item="0"/>
          <tpl fld="9" item="5"/>
          <tpl fld="2" item="23"/>
          <tpl hier="64" item="0"/>
        </tpls>
      </n>
      <n v="31035678.000000004" in="0">
        <tpls c="5">
          <tpl fld="4" item="7"/>
          <tpl fld="8" item="0"/>
          <tpl fld="9" item="0"/>
          <tpl hier="60" item="4294967295"/>
          <tpl hier="64" item="0"/>
        </tpls>
      </n>
      <m>
        <tpls c="4">
          <tpl fld="8" item="0"/>
          <tpl fld="9" item="3"/>
          <tpl fld="7" item="11"/>
          <tpl hier="64" item="0"/>
        </tpls>
      </m>
      <n v="159981036.45999995" in="0">
        <tpls c="5">
          <tpl fld="4" item="2"/>
          <tpl fld="8" item="0"/>
          <tpl fld="9" item="0"/>
          <tpl fld="10" item="1"/>
          <tpl hier="64" item="0"/>
        </tpls>
      </n>
      <n v="4486836.42" in="0">
        <tpls c="5">
          <tpl fld="4" item="21"/>
          <tpl fld="8" item="0"/>
          <tpl fld="9" item="0"/>
          <tpl hier="60" item="4294967295"/>
          <tpl hier="64" item="0"/>
        </tpls>
      </n>
      <n v="0" in="1">
        <tpls c="5">
          <tpl fld="4" item="4"/>
          <tpl fld="8" item="0"/>
          <tpl fld="9" item="5"/>
          <tpl fld="1" item="0"/>
          <tpl hier="64" item="0"/>
        </tpls>
      </n>
      <n v="20" in="1">
        <tpls c="4">
          <tpl fld="8" item="0"/>
          <tpl fld="9" item="4"/>
          <tpl fld="2" item="21"/>
          <tpl hier="64" item="0"/>
        </tpls>
      </n>
      <n v="200268.19999999998" in="0">
        <tpls c="4">
          <tpl fld="8" item="0"/>
          <tpl fld="9" item="1"/>
          <tpl fld="2" item="19"/>
          <tpl hier="64" item="0"/>
        </tpls>
      </n>
      <m>
        <tpls c="5">
          <tpl fld="4" item="22"/>
          <tpl fld="8" item="0"/>
          <tpl fld="9" item="5"/>
          <tpl fld="1" item="0"/>
          <tpl hier="64" item="0"/>
        </tpls>
      </m>
      <n v="8943621.3900000006" in="0">
        <tpls c="5">
          <tpl fld="4" item="4"/>
          <tpl fld="8" item="0"/>
          <tpl fld="9" item="0"/>
          <tpl hier="60" item="4294967295"/>
          <tpl hier="64" item="0"/>
        </tpls>
      </n>
      <n v="370487" in="1">
        <tpls c="5">
          <tpl fld="4" item="2"/>
          <tpl fld="8" item="0"/>
          <tpl fld="9" item="5"/>
          <tpl fld="1" item="0"/>
          <tpl hier="64" item="0"/>
        </tpls>
      </n>
      <n v="1715653.9100000001" in="0">
        <tpls c="5">
          <tpl fld="4" item="6"/>
          <tpl fld="8" item="0"/>
          <tpl fld="9" item="0"/>
          <tpl hier="60" item="4294967295"/>
          <tpl hier="64" item="0"/>
        </tpls>
      </n>
      <m>
        <tpls c="4">
          <tpl fld="8" item="0"/>
          <tpl fld="9" item="3"/>
          <tpl fld="7" item="2"/>
          <tpl hier="64" item="0"/>
        </tpls>
      </m>
      <n v="47369" in="1">
        <tpls c="4">
          <tpl fld="8" item="0"/>
          <tpl fld="9" item="5"/>
          <tpl fld="2" item="15"/>
          <tpl hier="64" item="0"/>
        </tpls>
      </n>
      <n v="337121" in="1">
        <tpls c="4">
          <tpl fld="8" item="0"/>
          <tpl fld="9" item="5"/>
          <tpl fld="2" item="5"/>
          <tpl hier="64" item="0"/>
        </tpls>
      </n>
      <m>
        <tpls c="4">
          <tpl fld="8" item="0"/>
          <tpl fld="9" item="2"/>
          <tpl fld="7" item="7"/>
          <tpl hier="64" item="0"/>
        </tpls>
      </m>
      <n v="8482" in="1">
        <tpls c="5">
          <tpl fld="4" item="3"/>
          <tpl fld="8" item="0"/>
          <tpl fld="9" item="5"/>
          <tpl fld="1" item="0"/>
          <tpl hier="64" item="0"/>
        </tpls>
      </n>
      <n v="43040004.210000001" in="0">
        <tpls c="5">
          <tpl fld="4" item="19"/>
          <tpl fld="8" item="0"/>
          <tpl fld="9" item="0"/>
          <tpl hier="60" item="4294967295"/>
          <tpl hier="64" item="0"/>
        </tpls>
      </n>
      <n v="8150" in="1">
        <tpls c="5">
          <tpl fld="4" item="1"/>
          <tpl fld="8" item="0"/>
          <tpl fld="9" item="5"/>
          <tpl hier="54" item="4294967295"/>
          <tpl hier="64" item="0"/>
        </tpls>
      </n>
      <n v="37378004.270000003" in="0">
        <tpls c="5">
          <tpl fld="4" item="19"/>
          <tpl fld="8" item="0"/>
          <tpl fld="9" item="0"/>
          <tpl fld="10" item="0"/>
          <tpl hier="64" item="0"/>
        </tpls>
      </n>
      <n v="3562453.76" in="0">
        <tpls c="5">
          <tpl fld="4" item="15"/>
          <tpl fld="8" item="0"/>
          <tpl fld="9" item="0"/>
          <tpl fld="10" item="0"/>
          <tpl hier="64" item="0"/>
        </tpls>
      </n>
      <n v="8482" in="1">
        <tpls c="5">
          <tpl fld="4" item="3"/>
          <tpl fld="8" item="0"/>
          <tpl fld="9" item="5"/>
          <tpl hier="54" item="4294967295"/>
          <tpl hier="64" item="0"/>
        </tpls>
      </n>
      <m>
        <tpls c="5">
          <tpl fld="4" item="24"/>
          <tpl fld="8" item="0"/>
          <tpl fld="9" item="0"/>
          <tpl fld="10" item="1"/>
          <tpl hier="64" item="0"/>
        </tpls>
      </m>
      <m>
        <tpls c="4">
          <tpl fld="8" item="0"/>
          <tpl fld="9" item="3"/>
          <tpl fld="7" item="10"/>
          <tpl hier="64" item="0"/>
        </tpls>
      </m>
      <m>
        <tpls c="4">
          <tpl fld="8" item="0"/>
          <tpl fld="9" item="2"/>
          <tpl fld="7" item="17"/>
          <tpl hier="64" item="0"/>
        </tpls>
      </m>
      <n v="0" in="1">
        <tpls c="4">
          <tpl fld="8" item="0"/>
          <tpl fld="9" item="4"/>
          <tpl fld="2" item="0"/>
          <tpl hier="64" item="0"/>
        </tpls>
      </n>
      <n v="61424" in="1">
        <tpls c="4">
          <tpl fld="8" item="0"/>
          <tpl fld="9" item="5"/>
          <tpl fld="2" item="10"/>
          <tpl hier="64" item="0"/>
        </tpls>
      </n>
      <n v="589" in="1">
        <tpls c="4">
          <tpl fld="8" item="0"/>
          <tpl fld="9" item="4"/>
          <tpl fld="2" item="24"/>
          <tpl hier="64" item="0"/>
        </tpls>
      </n>
      <n v="966273.46" in="0">
        <tpls c="4">
          <tpl fld="8" item="0"/>
          <tpl fld="9" item="0"/>
          <tpl fld="2" item="1"/>
          <tpl hier="64" item="0"/>
        </tpls>
      </n>
      <n v="434009041.28000003" in="0">
        <tpls c="4">
          <tpl fld="8" item="0"/>
          <tpl fld="9" item="0"/>
          <tpl fld="2" item="16"/>
          <tpl hier="64" item="0"/>
        </tpls>
      </n>
      <n v="11073536.060000001" in="0">
        <tpls c="4">
          <tpl fld="8" item="0"/>
          <tpl fld="9" item="1"/>
          <tpl fld="2" item="24"/>
          <tpl hier="64" item="0"/>
        </tpls>
      </n>
      <n v="0" in="1">
        <tpls c="5">
          <tpl fld="4" item="6"/>
          <tpl fld="8" item="0"/>
          <tpl fld="9" item="5"/>
          <tpl fld="1" item="0"/>
          <tpl hier="64" item="0"/>
        </tpls>
      </n>
      <n v="15059905.010000002" in="0">
        <tpls c="4">
          <tpl fld="8" item="0"/>
          <tpl fld="9" item="0"/>
          <tpl fld="2" item="10"/>
          <tpl hier="64" item="0"/>
        </tpls>
      </n>
      <n v="318829247.48000002" in="0">
        <tpls c="4">
          <tpl fld="8" item="0"/>
          <tpl fld="9" item="0"/>
          <tpl fld="2" item="6"/>
          <tpl hier="64" item="0"/>
        </tpls>
      </n>
      <n v="55881044.489999995" in="0">
        <tpls c="5">
          <tpl fld="4" item="12"/>
          <tpl fld="8" item="0"/>
          <tpl fld="9" item="0"/>
          <tpl fld="10" item="1"/>
          <tpl hier="64" item="0"/>
        </tpls>
      </n>
      <m>
        <tpls c="5">
          <tpl fld="4" item="10"/>
          <tpl fld="8" item="0"/>
          <tpl fld="9" item="0"/>
          <tpl fld="10" item="0"/>
          <tpl hier="64" item="0"/>
        </tpls>
      </m>
      <n v="1142443.28" in="0">
        <tpls c="4">
          <tpl fld="8" item="0"/>
          <tpl fld="9" item="1"/>
          <tpl fld="2" item="1"/>
          <tpl hier="64" item="0"/>
        </tpls>
      </n>
      <m>
        <tpls c="4">
          <tpl fld="8" item="0"/>
          <tpl fld="9" item="7"/>
          <tpl fld="7" item="10"/>
          <tpl hier="64" item="0"/>
        </tpls>
      </m>
      <n v="0" in="0">
        <tpls c="5">
          <tpl fld="4" item="23"/>
          <tpl fld="8" item="0"/>
          <tpl fld="9" item="0"/>
          <tpl fld="10" item="0"/>
          <tpl hier="64" item="0"/>
        </tpls>
      </n>
      <n v="5307" in="1">
        <tpls c="5">
          <tpl fld="4" item="10"/>
          <tpl fld="8" item="0"/>
          <tpl fld="9" item="5"/>
          <tpl fld="1" item="1"/>
          <tpl hier="64" item="0"/>
        </tpls>
      </n>
      <m>
        <tpls c="4">
          <tpl fld="8" item="0"/>
          <tpl fld="9" item="2"/>
          <tpl fld="7" item="2"/>
          <tpl hier="64" item="0"/>
        </tpls>
      </m>
      <m>
        <tpls c="4">
          <tpl fld="8" item="0"/>
          <tpl fld="9" item="7"/>
          <tpl fld="7" item="17"/>
          <tpl hier="64" item="0"/>
        </tpls>
      </m>
      <n v="103140" in="1">
        <tpls c="5">
          <tpl fld="4" item="11"/>
          <tpl fld="8" item="0"/>
          <tpl fld="9" item="5"/>
          <tpl fld="1" item="0"/>
          <tpl hier="64" item="0"/>
        </tpls>
      </n>
      <n v="0" in="0">
        <tpls c="5">
          <tpl fld="4" item="1"/>
          <tpl fld="8" item="0"/>
          <tpl fld="9" item="0"/>
          <tpl fld="10" item="0"/>
          <tpl hier="64" item="0"/>
        </tpls>
      </n>
      <m>
        <tpls c="4">
          <tpl fld="8" item="0"/>
          <tpl fld="9" item="2"/>
          <tpl fld="7" item="0"/>
          <tpl hier="64" item="0"/>
        </tpls>
      </m>
      <m>
        <tpls c="5">
          <tpl fld="4" item="17"/>
          <tpl fld="8" item="0"/>
          <tpl fld="9" item="0"/>
          <tpl fld="10" item="0"/>
          <tpl hier="64" item="0"/>
        </tpls>
      </m>
      <n v="56" in="1">
        <tpls c="4">
          <tpl fld="8" item="0"/>
          <tpl fld="9" item="4"/>
          <tpl fld="2" item="19"/>
          <tpl hier="64" item="0"/>
        </tpls>
      </n>
      <n v="67782460.120000005" in="0">
        <tpls c="4">
          <tpl fld="8" item="0"/>
          <tpl fld="9" item="0"/>
          <tpl fld="2" item="11"/>
          <tpl hier="64" item="0"/>
        </tpls>
      </n>
      <n v="23472090.839999996" in="0">
        <tpls c="4">
          <tpl fld="8" item="0"/>
          <tpl fld="9" item="0"/>
          <tpl fld="2" item="24"/>
          <tpl hier="64" item="0"/>
        </tpls>
      </n>
      <n v="67599191.74000001" in="0">
        <tpls c="4">
          <tpl fld="8" item="0"/>
          <tpl fld="9" item="0"/>
          <tpl fld="2" item="15"/>
          <tpl hier="64" item="0"/>
        </tpls>
      </n>
      <n v="1340548.5499999998" in="0">
        <tpls c="4">
          <tpl fld="8" item="0"/>
          <tpl fld="9" item="1"/>
          <tpl fld="2" item="14"/>
          <tpl hier="64" item="0"/>
        </tpls>
      </n>
      <m>
        <tpls c="4">
          <tpl fld="8" item="0"/>
          <tpl fld="9" item="7"/>
          <tpl fld="7" item="11"/>
          <tpl hier="64" item="0"/>
        </tpls>
      </m>
      <n v="31035678.000000004" in="0">
        <tpls c="5">
          <tpl fld="4" item="7"/>
          <tpl fld="8" item="0"/>
          <tpl fld="9" item="0"/>
          <tpl fld="10" item="0"/>
          <tpl hier="64" item="0"/>
        </tpls>
      </n>
      <n v="0" in="1">
        <tpls c="5">
          <tpl fld="4" item="1"/>
          <tpl fld="8" item="0"/>
          <tpl fld="9" item="5"/>
          <tpl fld="1" item="0"/>
          <tpl hier="64" item="0"/>
        </tpls>
      </n>
      <m>
        <tpls c="4">
          <tpl fld="8" item="0"/>
          <tpl fld="9" item="6"/>
          <tpl fld="7" item="3"/>
          <tpl hier="64" item="0"/>
        </tpls>
      </m>
      <n v="12261" in="1">
        <tpls c="4">
          <tpl fld="8" item="0"/>
          <tpl fld="9" item="5"/>
          <tpl fld="2" item="7"/>
          <tpl hier="64" item="0"/>
        </tpls>
      </n>
      <n v="91405358.069999993" in="0">
        <tpls c="4">
          <tpl fld="8" item="0"/>
          <tpl fld="9" item="1"/>
          <tpl fld="2" item="9"/>
          <tpl hier="64" item="0"/>
        </tpls>
      </n>
      <m>
        <tpls c="4">
          <tpl fld="8" item="0"/>
          <tpl fld="9" item="6"/>
          <tpl fld="7" item="16"/>
          <tpl hier="64" item="0"/>
        </tpls>
      </m>
      <m>
        <tpls c="4">
          <tpl fld="8" item="0"/>
          <tpl fld="9" item="6"/>
          <tpl fld="7" item="9"/>
          <tpl hier="64" item="0"/>
        </tpls>
      </m>
      <m>
        <tpls c="4">
          <tpl fld="8" item="0"/>
          <tpl fld="9" item="3"/>
          <tpl fld="7" item="1"/>
          <tpl hier="64" item="0"/>
        </tpls>
      </m>
      <m>
        <tpls c="5">
          <tpl fld="4" item="15"/>
          <tpl fld="8" item="0"/>
          <tpl fld="9" item="5"/>
          <tpl fld="1" item="1"/>
          <tpl hier="64" item="0"/>
        </tpls>
      </m>
      <n v="0" in="0">
        <tpls c="4">
          <tpl fld="8" item="0"/>
          <tpl fld="9" item="1"/>
          <tpl fld="2" item="18"/>
          <tpl hier="64" item="0"/>
        </tpls>
      </n>
      <n v="13832485.58" in="0">
        <tpls c="4">
          <tpl fld="8" item="0"/>
          <tpl fld="9" item="1"/>
          <tpl fld="2" item="5"/>
          <tpl hier="64" item="0"/>
        </tpls>
      </n>
      <m>
        <tpls c="4">
          <tpl fld="8" item="0"/>
          <tpl fld="9" item="3"/>
          <tpl fld="7" item="0"/>
          <tpl hier="64" item="0"/>
        </tpls>
      </m>
      <n v="61" in="1">
        <tpls c="5">
          <tpl fld="4" item="6"/>
          <tpl fld="8" item="0"/>
          <tpl fld="9" item="5"/>
          <tpl fld="1" item="1"/>
          <tpl hier="64" item="0"/>
        </tpls>
      </n>
      <m>
        <tpls c="4">
          <tpl fld="8" item="0"/>
          <tpl fld="9" item="2"/>
          <tpl fld="7" item="3"/>
          <tpl hier="64" item="0"/>
        </tpls>
      </m>
      <m>
        <tpls c="4">
          <tpl fld="8" item="0"/>
          <tpl fld="9" item="6"/>
          <tpl fld="7" item="19"/>
          <tpl hier="64" item="0"/>
        </tpls>
      </m>
      <n v="5442701.4799999995" in="0">
        <tpls c="5">
          <tpl fld="4" item="5"/>
          <tpl fld="8" item="0"/>
          <tpl fld="9" item="0"/>
          <tpl fld="10" item="0"/>
          <tpl hier="64" item="0"/>
        </tpls>
      </n>
      <n v="18224785.52" in="0">
        <tpls c="5">
          <tpl fld="4" item="14"/>
          <tpl fld="8" item="0"/>
          <tpl fld="9" item="0"/>
          <tpl fld="10" item="0"/>
          <tpl hier="64" item="0"/>
        </tpls>
      </n>
      <n v="17359" in="1">
        <tpls c="5">
          <tpl fld="4" item="15"/>
          <tpl fld="8" item="0"/>
          <tpl fld="9" item="5"/>
          <tpl fld="1" item="0"/>
          <tpl hier="64" item="0"/>
        </tpls>
      </n>
      <m>
        <tpls c="5">
          <tpl fld="4" item="10"/>
          <tpl fld="8" item="0"/>
          <tpl fld="9" item="5"/>
          <tpl fld="1" item="0"/>
          <tpl hier="64" item="0"/>
        </tpls>
      </m>
      <m>
        <tpls c="5">
          <tpl fld="4" item="18"/>
          <tpl fld="8" item="0"/>
          <tpl fld="9" item="0"/>
          <tpl fld="10" item="0"/>
          <tpl hier="64" item="0"/>
        </tpls>
      </m>
      <m>
        <tpls c="5">
          <tpl fld="4" item="18"/>
          <tpl fld="8" item="0"/>
          <tpl fld="9" item="0"/>
          <tpl hier="60" item="4294967295"/>
          <tpl hier="64" item="0"/>
        </tpls>
      </m>
      <n v="31957" in="1">
        <tpls c="5">
          <tpl fld="4" item="16"/>
          <tpl fld="8" item="0"/>
          <tpl fld="9" item="5"/>
          <tpl hier="54" item="4294967295"/>
          <tpl hier="64" item="0"/>
        </tpls>
      </n>
      <m>
        <tpls c="5">
          <tpl fld="4" item="16"/>
          <tpl fld="8" item="0"/>
          <tpl fld="9" item="5"/>
          <tpl fld="1" item="0"/>
          <tpl hier="64" item="0"/>
        </tpls>
      </m>
      <n v="47707" in="1">
        <tpls c="5">
          <tpl fld="4" item="12"/>
          <tpl fld="8" item="0"/>
          <tpl fld="9" item="5"/>
          <tpl fld="1" item="0"/>
          <tpl hier="64" item="0"/>
        </tpls>
      </n>
      <n v="36619" in="1">
        <tpls c="5">
          <tpl fld="4" item="12"/>
          <tpl fld="8" item="0"/>
          <tpl fld="9" item="5"/>
          <tpl fld="1" item="1"/>
          <tpl hier="64" item="0"/>
        </tpls>
      </n>
      <n v="74663" in="1">
        <tpls c="5">
          <tpl fld="4" item="7"/>
          <tpl fld="8" item="0"/>
          <tpl fld="9" item="5"/>
          <tpl fld="1" item="0"/>
          <tpl hier="64" item="0"/>
        </tpls>
      </n>
      <n v="0" in="1">
        <tpls c="5">
          <tpl fld="4" item="7"/>
          <tpl fld="8" item="0"/>
          <tpl fld="9" item="5"/>
          <tpl fld="1" item="1"/>
          <tpl hier="64" item="0"/>
        </tpls>
      </n>
      <m>
        <tpls c="4">
          <tpl fld="8" item="0"/>
          <tpl fld="9" item="7"/>
          <tpl fld="7" item="12"/>
          <tpl hier="64" item="0"/>
        </tpls>
      </m>
      <m>
        <tpls c="4">
          <tpl fld="8" item="0"/>
          <tpl fld="9" item="6"/>
          <tpl fld="7" item="12"/>
          <tpl hier="64" item="0"/>
        </tpls>
      </m>
      <m>
        <tpls c="4">
          <tpl fld="8" item="0"/>
          <tpl fld="9" item="3"/>
          <tpl fld="7" item="13"/>
          <tpl hier="64" item="0"/>
        </tpls>
      </m>
      <m>
        <tpls c="4">
          <tpl fld="8" item="0"/>
          <tpl fld="9" item="6"/>
          <tpl fld="7" item="13"/>
          <tpl hier="64" item="0"/>
        </tpls>
      </m>
      <m>
        <tpls c="4">
          <tpl fld="8" item="0"/>
          <tpl fld="9" item="7"/>
          <tpl fld="7" item="13"/>
          <tpl hier="64" item="0"/>
        </tpls>
      </m>
      <n v="88997" in="1">
        <tpls c="5">
          <tpl fld="4" item="0"/>
          <tpl fld="8" item="0"/>
          <tpl fld="9" item="5"/>
          <tpl fld="1" item="1"/>
          <tpl hier="64" item="0"/>
        </tpls>
      </n>
      <n v="190280" in="1">
        <tpls c="5">
          <tpl fld="4" item="0"/>
          <tpl fld="8" item="0"/>
          <tpl fld="9" item="5"/>
          <tpl fld="1" item="0"/>
          <tpl hier="64" item="0"/>
        </tpls>
      </n>
      <m>
        <tpls c="4">
          <tpl fld="8" item="0"/>
          <tpl fld="9" item="6"/>
          <tpl fld="7" item="14"/>
          <tpl hier="64" item="0"/>
        </tpls>
      </m>
      <m>
        <tpls c="4">
          <tpl fld="8" item="0"/>
          <tpl fld="9" item="2"/>
          <tpl fld="7" item="14"/>
          <tpl hier="64" item="0"/>
        </tpls>
      </m>
      <m>
        <tpls c="4">
          <tpl fld="8" item="0"/>
          <tpl fld="9" item="7"/>
          <tpl fld="7" item="14"/>
          <tpl hier="64" item="0"/>
        </tpls>
      </m>
      <n v="110469338.52" in="0">
        <tpls c="5">
          <tpl fld="4" item="2"/>
          <tpl fld="8" item="0"/>
          <tpl fld="9" item="0"/>
          <tpl fld="10" item="0"/>
          <tpl hier="64" item="0"/>
        </tpls>
      </n>
      <n v="270450374.97999996" in="0">
        <tpls c="5">
          <tpl fld="4" item="2"/>
          <tpl fld="8" item="0"/>
          <tpl fld="9" item="0"/>
          <tpl hier="60" item="4294967295"/>
          <tpl hier="64" item="0"/>
        </tpls>
      </n>
      <m>
        <tpls c="5">
          <tpl fld="4" item="24"/>
          <tpl fld="8" item="0"/>
          <tpl fld="9" item="5"/>
          <tpl fld="1" item="1"/>
          <tpl hier="64" item="0"/>
        </tpls>
      </m>
      <n v="64813" in="1">
        <tpls c="5">
          <tpl fld="4" item="24"/>
          <tpl fld="8" item="0"/>
          <tpl fld="9" item="5"/>
          <tpl hier="54" item="4294967295"/>
          <tpl hier="64" item="0"/>
        </tpls>
      </n>
      <n v="64813" in="1">
        <tpls c="5">
          <tpl fld="4" item="24"/>
          <tpl fld="8" item="0"/>
          <tpl fld="9" item="5"/>
          <tpl fld="1" item="0"/>
          <tpl hier="64" item="0"/>
        </tpls>
      </n>
      <m>
        <tpls c="5">
          <tpl fld="4" item="18"/>
          <tpl fld="8" item="0"/>
          <tpl fld="9" item="5"/>
          <tpl hier="54" item="4294967295"/>
          <tpl hier="64" item="0"/>
        </tpls>
      </m>
      <m>
        <tpls c="5">
          <tpl fld="4" item="18"/>
          <tpl fld="8" item="0"/>
          <tpl fld="9" item="5"/>
          <tpl fld="1" item="0"/>
          <tpl hier="64" item="0"/>
        </tpls>
      </m>
      <m>
        <tpls c="4">
          <tpl fld="8" item="0"/>
          <tpl fld="9" item="3"/>
          <tpl fld="7" item="15"/>
          <tpl hier="64" item="0"/>
        </tpls>
      </m>
      <m>
        <tpls c="4">
          <tpl fld="8" item="0"/>
          <tpl fld="9" item="2"/>
          <tpl fld="7" item="15"/>
          <tpl hier="64" item="0"/>
        </tpls>
      </m>
      <m>
        <tpls c="4">
          <tpl fld="8" item="0"/>
          <tpl fld="9" item="6"/>
          <tpl fld="7" item="15"/>
          <tpl hier="64" item="0"/>
        </tpls>
      </m>
      <n v="18045582.159999996" in="0">
        <tpls c="5">
          <tpl fld="4" item="24"/>
          <tpl fld="8" item="0"/>
          <tpl fld="9" item="0"/>
          <tpl fld="10" item="0"/>
          <tpl hier="64" item="0"/>
        </tpls>
      </n>
      <n v="18045582.159999996" in="0">
        <tpls c="5">
          <tpl fld="4" item="24"/>
          <tpl fld="8" item="0"/>
          <tpl fld="9" item="0"/>
          <tpl hier="60" item="4294967295"/>
          <tpl hier="64" item="0"/>
        </tpls>
      </n>
      <m>
        <tpls c="4">
          <tpl fld="8" item="0"/>
          <tpl fld="9" item="3"/>
          <tpl fld="7" item="16"/>
          <tpl hier="64" item="0"/>
        </tpls>
      </m>
      <m>
        <tpls c="4">
          <tpl fld="8" item="0"/>
          <tpl fld="9" item="2"/>
          <tpl fld="7" item="16"/>
          <tpl hier="64" item="0"/>
        </tpls>
      </m>
      <m>
        <tpls c="4">
          <tpl fld="8" item="0"/>
          <tpl fld="9" item="7"/>
          <tpl fld="7" item="16"/>
          <tpl hier="64" item="0"/>
        </tpls>
      </m>
      <m>
        <tpls c="4">
          <tpl fld="8" item="0"/>
          <tpl fld="9" item="6"/>
          <tpl fld="7" item="17"/>
          <tpl hier="64" item="0"/>
        </tpls>
      </m>
      <m>
        <tpls c="4">
          <tpl fld="8" item="0"/>
          <tpl fld="9" item="3"/>
          <tpl fld="7" item="17"/>
          <tpl hier="64" item="0"/>
        </tpls>
      </m>
      <m>
        <tpls c="5">
          <tpl fld="4" item="21"/>
          <tpl fld="8" item="0"/>
          <tpl fld="9" item="0"/>
          <tpl fld="10" item="1"/>
          <tpl hier="64" item="0"/>
        </tpls>
      </m>
      <n v="4486836.42" in="0">
        <tpls c="5">
          <tpl fld="4" item="21"/>
          <tpl fld="8" item="0"/>
          <tpl fld="9" item="0"/>
          <tpl fld="10" item="0"/>
          <tpl hier="64" item="0"/>
        </tpls>
      </n>
      <n v="1123041" in="1">
        <tpls c="5">
          <tpl hier="22" item="4294967295"/>
          <tpl fld="8" item="0"/>
          <tpl fld="9" item="5"/>
          <tpl fld="1" item="1"/>
          <tpl hier="64" item="0"/>
        </tpls>
      </n>
      <n v="2606414" in="1">
        <tpls c="5">
          <tpl hier="22" item="4294967295"/>
          <tpl fld="8" item="0"/>
          <tpl fld="9" item="5"/>
          <tpl hier="54" item="4294967295"/>
          <tpl hier="64" item="0"/>
        </tpls>
      </n>
      <n v="1483373" in="1">
        <tpls c="5">
          <tpl hier="22" item="4294967295"/>
          <tpl fld="8" item="0"/>
          <tpl fld="9" item="5"/>
          <tpl fld="1" item="0"/>
          <tpl hier="64" item="0"/>
        </tpls>
      </n>
      <n v="12117" in="1">
        <tpls c="5">
          <tpl fld="4" item="22"/>
          <tpl fld="8" item="0"/>
          <tpl fld="9" item="5"/>
          <tpl fld="1" item="1"/>
          <tpl hier="64" item="0"/>
        </tpls>
      </n>
      <n v="12117" in="1">
        <tpls c="5">
          <tpl fld="4" item="22"/>
          <tpl fld="8" item="0"/>
          <tpl fld="9" item="5"/>
          <tpl hier="54" item="4294967295"/>
          <tpl hier="64" item="0"/>
        </tpls>
      </n>
      <n v="62874346.07" in="0">
        <tpls c="5">
          <tpl fld="4" item="25"/>
          <tpl fld="8" item="0"/>
          <tpl fld="9" item="0"/>
          <tpl hier="60" item="4294967295"/>
          <tpl hier="64" item="0"/>
        </tpls>
      </n>
      <n v="24198920.619999997" in="0">
        <tpls c="5">
          <tpl fld="4" item="25"/>
          <tpl fld="8" item="0"/>
          <tpl fld="9" item="0"/>
          <tpl fld="10" item="1"/>
          <tpl hier="64" item="0"/>
        </tpls>
      </n>
      <m>
        <tpls c="4">
          <tpl fld="8" item="0"/>
          <tpl fld="9" item="3"/>
          <tpl fld="7" item="18"/>
          <tpl hier="64" item="0"/>
        </tpls>
      </m>
      <m>
        <tpls c="4">
          <tpl fld="8" item="0"/>
          <tpl fld="9" item="2"/>
          <tpl fld="7" item="18"/>
          <tpl hier="64" item="0"/>
        </tpls>
      </m>
      <m>
        <tpls c="4">
          <tpl fld="8" item="0"/>
          <tpl fld="9" item="7"/>
          <tpl fld="7" item="18"/>
          <tpl hier="64" item="0"/>
        </tpls>
      </m>
      <m>
        <tpls c="4">
          <tpl fld="8" item="0"/>
          <tpl fld="9" item="6"/>
          <tpl fld="7" item="18"/>
          <tpl hier="64" item="0"/>
        </tpls>
      </m>
      <n v="8245029.870000001" in="0">
        <tpls c="5">
          <tpl fld="4" item="20"/>
          <tpl fld="8" item="0"/>
          <tpl fld="9" item="0"/>
          <tpl hier="60" item="4294967295"/>
          <tpl hier="64" item="0"/>
        </tpls>
      </n>
      <m>
        <tpls c="5">
          <tpl fld="4" item="20"/>
          <tpl fld="8" item="0"/>
          <tpl fld="9" item="0"/>
          <tpl fld="10" item="0"/>
          <tpl hier="64" item="0"/>
        </tpls>
      </m>
      <n v="8245029.870000001" in="0">
        <tpls c="5">
          <tpl fld="4" item="20"/>
          <tpl fld="8" item="0"/>
          <tpl fld="9" item="0"/>
          <tpl fld="10" item="1"/>
          <tpl hier="64" item="0"/>
        </tpls>
      </n>
      <m>
        <tpls c="5">
          <tpl fld="4" item="8"/>
          <tpl fld="8" item="0"/>
          <tpl fld="9" item="5"/>
          <tpl fld="1" item="1"/>
          <tpl hier="64" item="0"/>
        </tpls>
      </m>
      <n v="12767" in="1">
        <tpls c="5">
          <tpl fld="4" item="8"/>
          <tpl fld="8" item="0"/>
          <tpl fld="9" item="5"/>
          <tpl hier="54" item="4294967295"/>
          <tpl hier="64" item="0"/>
        </tpls>
      </n>
      <n v="12767" in="1">
        <tpls c="5">
          <tpl fld="4" item="8"/>
          <tpl fld="8" item="0"/>
          <tpl fld="9" item="5"/>
          <tpl fld="1" item="0"/>
          <tpl hier="64" item="0"/>
        </tpls>
      </n>
      <n v="166165" in="1">
        <tpls c="5">
          <tpl fld="4" item="13"/>
          <tpl fld="8" item="0"/>
          <tpl fld="9" item="5"/>
          <tpl fld="1" item="0"/>
          <tpl hier="64" item="0"/>
        </tpls>
      </n>
      <n v="349151" in="1">
        <tpls c="5">
          <tpl fld="4" item="13"/>
          <tpl fld="8" item="0"/>
          <tpl fld="9" item="5"/>
          <tpl fld="1" item="1"/>
          <tpl hier="64" item="0"/>
        </tpls>
      </n>
      <n v="515316" in="1">
        <tpls c="5">
          <tpl fld="4" item="13"/>
          <tpl fld="8" item="0"/>
          <tpl fld="9" item="5"/>
          <tpl hier="54" item="4294967295"/>
          <tpl hier="64" item="0"/>
        </tpls>
      </n>
      <m>
        <tpls c="4">
          <tpl fld="8" item="0"/>
          <tpl fld="9" item="3"/>
          <tpl fld="7" item="19"/>
          <tpl hier="64" item="0"/>
        </tpls>
      </m>
      <m>
        <tpls c="4">
          <tpl fld="8" item="0"/>
          <tpl fld="9" item="2"/>
          <tpl fld="7" item="19"/>
          <tpl hier="64" item="0"/>
        </tpls>
      </m>
      <m>
        <tpls c="4">
          <tpl fld="8" item="0"/>
          <tpl fld="9" item="7"/>
          <tpl fld="7" item="19"/>
          <tpl hier="64" item="0"/>
        </tpls>
      </m>
      <n v="71488959.609999999" in="0">
        <tpls c="5">
          <tpl fld="4" item="23"/>
          <tpl fld="8" item="0"/>
          <tpl fld="9" item="0"/>
          <tpl hier="60" item="4294967295"/>
          <tpl hier="64" item="0"/>
        </tpls>
      </n>
      <n v="71488959.609999999" in="0">
        <tpls c="5">
          <tpl fld="4" item="23"/>
          <tpl fld="8" item="0"/>
          <tpl fld="9" item="0"/>
          <tpl fld="10" item="1"/>
          <tpl hier="64" item="0"/>
        </tpls>
      </n>
      <n v="110443" in="1">
        <tpls c="5">
          <tpl fld="4" item="25"/>
          <tpl fld="8" item="0"/>
          <tpl fld="9" item="5"/>
          <tpl fld="1" item="0"/>
          <tpl hier="64" item="0"/>
        </tpls>
      </n>
      <n v="145194" in="1">
        <tpls c="5">
          <tpl fld="4" item="25"/>
          <tpl fld="8" item="0"/>
          <tpl fld="9" item="5"/>
          <tpl hier="54" item="4294967295"/>
          <tpl hier="64" item="0"/>
        </tpls>
      </n>
      <n v="18" in="1">
        <tpls c="4">
          <tpl fld="8" item="0"/>
          <tpl fld="9" item="5"/>
          <tpl fld="2" item="17"/>
          <tpl hier="64" item="0"/>
        </tpls>
      </n>
      <n v="68" in="1">
        <tpls c="4">
          <tpl fld="8" item="0"/>
          <tpl fld="9" item="4"/>
          <tpl fld="2" item="12"/>
          <tpl hier="64" item="0"/>
        </tpls>
      </n>
      <n v="351676" in="1">
        <tpls c="4">
          <tpl fld="8" item="0"/>
          <tpl fld="9" item="4"/>
          <tpl hier="54" item="4294967295"/>
          <tpl hier="64" item="0"/>
        </tpls>
      </n>
      <n v="167888" in="1">
        <tpls c="5">
          <tpl fld="4" item="9"/>
          <tpl fld="8" item="0"/>
          <tpl fld="9" item="5"/>
          <tpl fld="1" item="1"/>
          <tpl hier="64" item="0"/>
        </tpls>
      </n>
      <n v="2228" in="1">
        <tpls c="4">
          <tpl fld="8" item="0"/>
          <tpl fld="9" item="5"/>
          <tpl fld="2" item="21"/>
          <tpl hier="64" item="0"/>
        </tpls>
      </n>
      <n v="16747215.480000002" in="0">
        <tpls c="4">
          <tpl fld="8" item="0"/>
          <tpl fld="9" item="0"/>
          <tpl fld="2" item="21"/>
          <tpl hier="64" item="0"/>
        </tpls>
      </n>
      <n v="58738" in="1">
        <tpls c="5">
          <tpl fld="4" item="11"/>
          <tpl fld="8" item="0"/>
          <tpl fld="9" item="5"/>
          <tpl fld="1" item="1"/>
          <tpl hier="64" item="0"/>
        </tpls>
      </n>
      <n v="1131" in="1">
        <tpls c="4">
          <tpl fld="8" item="0"/>
          <tpl fld="9" item="5"/>
          <tpl fld="2" item="8"/>
          <tpl hier="64" item="0"/>
        </tpls>
      </n>
      <n v="20107330.91" in="0">
        <tpls c="4">
          <tpl fld="8" item="0"/>
          <tpl fld="9" item="1"/>
          <tpl fld="2" item="23"/>
          <tpl hier="64" item="0"/>
        </tpls>
      </n>
      <n v="34751" in="1">
        <tpls c="5">
          <tpl fld="4" item="25"/>
          <tpl fld="8" item="0"/>
          <tpl fld="9" item="5"/>
          <tpl fld="1" item="1"/>
          <tpl hier="64" item="0"/>
        </tpls>
      </n>
      <n v="340211" in="1">
        <tpls c="4">
          <tpl fld="8" item="0"/>
          <tpl fld="9" item="5"/>
          <tpl fld="2" item="6"/>
          <tpl hier="64" item="0"/>
        </tpls>
      </n>
      <n v="154205054.05000001" in="0">
        <tpls c="4">
          <tpl fld="8" item="0"/>
          <tpl fld="9" item="1"/>
          <tpl fld="2" item="6"/>
          <tpl hier="64" item="0"/>
        </tpls>
      </n>
      <n v="0" in="0">
        <tpls c="5">
          <tpl fld="4" item="9"/>
          <tpl fld="8" item="0"/>
          <tpl fld="9" item="0"/>
          <tpl fld="10" item="0"/>
          <tpl hier="64" item="0"/>
        </tpls>
      </n>
      <m>
        <tpls c="4">
          <tpl fld="8" item="0"/>
          <tpl fld="9" item="3"/>
          <tpl fld="7" item="3"/>
          <tpl hier="64" item="0"/>
        </tpls>
      </m>
      <m>
        <tpls c="4">
          <tpl fld="8" item="0"/>
          <tpl fld="9" item="2"/>
          <tpl fld="7" item="13"/>
          <tpl hier="64" item="0"/>
        </tpls>
      </m>
      <n v="115655912.07000001" in="0">
        <tpls c="4">
          <tpl fld="8" item="0"/>
          <tpl fld="9" item="0"/>
          <tpl fld="2" item="9"/>
          <tpl hier="64" item="0"/>
        </tpls>
      </n>
      <n v="2089" in="1">
        <tpls c="4">
          <tpl fld="8" item="0"/>
          <tpl fld="9" item="5"/>
          <tpl fld="2" item="14"/>
          <tpl hier="64" item="0"/>
        </tpls>
      </n>
      <n v="305" in="1">
        <tpls c="4">
          <tpl fld="8" item="0"/>
          <tpl fld="9" item="4"/>
          <tpl fld="2" item="14"/>
          <tpl hier="64" item="0"/>
        </tpls>
      </n>
      <n v="1690" in="1">
        <tpls c="4">
          <tpl fld="8" item="0"/>
          <tpl fld="9" item="4"/>
          <tpl fld="2" item="23"/>
          <tpl hier="64" item="0"/>
        </tpls>
      </n>
      <n v="15718" in="1">
        <tpls c="5">
          <tpl fld="4" item="17"/>
          <tpl fld="8" item="0"/>
          <tpl fld="9" item="5"/>
          <tpl hier="54" item="4294967295"/>
          <tpl hier="64" item="0"/>
        </tpls>
      </n>
      <m>
        <tpls c="4">
          <tpl fld="8" item="0"/>
          <tpl fld="9" item="7"/>
          <tpl fld="7" item="15"/>
          <tpl hier="64" item="0"/>
        </tpls>
      </m>
      <n v="78676" in="1">
        <tpls c="5">
          <tpl fld="4" item="5"/>
          <tpl fld="8" item="0"/>
          <tpl fld="9" item="5"/>
          <tpl fld="1" item="0"/>
          <tpl hier="64" item="0"/>
        </tpls>
      </n>
      <m>
        <tpls c="5">
          <tpl fld="4" item="8"/>
          <tpl fld="8" item="0"/>
          <tpl fld="9" item="0"/>
          <tpl fld="10" item="1"/>
          <tpl hier="64" item="0"/>
        </tpls>
      </m>
      <n v="16504997.870000001" in="0">
        <tpls c="4">
          <tpl fld="8" item="0"/>
          <tpl fld="9" item="1"/>
          <tpl fld="2" item="2"/>
          <tpl hier="64" item="0"/>
        </tpls>
      </n>
      <n v="217" in="1">
        <tpls c="4">
          <tpl fld="8" item="0"/>
          <tpl fld="9" item="4"/>
          <tpl fld="2" item="11"/>
          <tpl hier="64" item="0"/>
        </tpls>
      </n>
      <n v="0" in="1">
        <tpls c="4">
          <tpl fld="8" item="0"/>
          <tpl fld="9" item="4"/>
          <tpl fld="2" item="8"/>
          <tpl hier="64" item="0"/>
        </tpls>
      </n>
      <n v="17359" in="1">
        <tpls c="5">
          <tpl fld="4" item="15"/>
          <tpl fld="8" item="0"/>
          <tpl fld="9" item="5"/>
          <tpl hier="54" item="4294967295"/>
          <tpl hier="64" item="0"/>
        </tpls>
      </n>
      <n v="0" in="1">
        <tpls c="5">
          <tpl fld="4" item="3"/>
          <tpl fld="8" item="0"/>
          <tpl fld="9" item="5"/>
          <tpl fld="1" item="1"/>
          <tpl hier="64" item="0"/>
        </tpls>
      </n>
      <n v="1428592.1800000002" in="0">
        <tpls c="4">
          <tpl fld="8" item="0"/>
          <tpl fld="9" item="0"/>
          <tpl fld="2" item="18"/>
          <tpl hier="64" item="0"/>
        </tpls>
      </n>
      <n v="65721306.639999993" in="0">
        <tpls c="5">
          <tpl fld="4" item="12"/>
          <tpl fld="8" item="0"/>
          <tpl fld="9" item="0"/>
          <tpl hier="60" item="4294967295"/>
          <tpl hier="64" item="0"/>
        </tpls>
      </n>
      <n v="3244384.3500000006" in="0">
        <tpls c="4">
          <tpl fld="8" item="0"/>
          <tpl fld="9" item="1"/>
          <tpl fld="2" item="10"/>
          <tpl hier="64" item="0"/>
        </tpls>
      </n>
      <n v="10505" in="1">
        <tpls c="4">
          <tpl fld="8" item="0"/>
          <tpl fld="9" item="4"/>
          <tpl fld="2" item="10"/>
          <tpl hier="64" item="0"/>
        </tpls>
      </n>
      <n v="0" in="0">
        <tpls c="4">
          <tpl fld="8" item="0"/>
          <tpl fld="9" item="1"/>
          <tpl fld="2" item="8"/>
          <tpl hier="64" item="0"/>
        </tpls>
      </n>
      <n v="17479" in="1">
        <tpls c="4">
          <tpl fld="8" item="0"/>
          <tpl fld="9" item="4"/>
          <tpl fld="2" item="9"/>
          <tpl hier="64" item="0"/>
        </tpls>
      </n>
      <n v="910" in="1">
        <tpls c="4">
          <tpl fld="8" item="0"/>
          <tpl fld="9" item="4"/>
          <tpl fld="2" item="2"/>
          <tpl hier="64" item="0"/>
        </tpls>
      </n>
      <n v="5661999.9399999995" in="0">
        <tpls c="5">
          <tpl fld="4" item="19"/>
          <tpl fld="8" item="0"/>
          <tpl fld="9" item="0"/>
          <tpl fld="10" item="1"/>
          <tpl hier="64" item="0"/>
        </tpls>
      </n>
      <n v="11198183" in="0">
        <tpls c="5">
          <tpl fld="4" item="1"/>
          <tpl fld="8" item="0"/>
          <tpl fld="9" item="0"/>
          <tpl hier="60" item="4294967295"/>
          <tpl hier="64" item="0"/>
        </tpls>
      </n>
      <n v="434339.6" in="0">
        <tpls c="4">
          <tpl fld="8" item="0"/>
          <tpl fld="9" item="1"/>
          <tpl fld="2" item="17"/>
          <tpl hier="64" item="0"/>
        </tpls>
      </n>
      <n v="2606414" in="1">
        <tpls c="4">
          <tpl fld="8" item="0"/>
          <tpl fld="9" item="5"/>
          <tpl hier="54" item="4294967295"/>
          <tpl hier="64" item="0"/>
        </tpls>
      </n>
      <n v="8407" in="1">
        <tpls c="4">
          <tpl fld="8" item="0"/>
          <tpl fld="9" item="4"/>
          <tpl fld="1" item="0"/>
          <tpl hier="64" item="0"/>
        </tpls>
      </n>
      <n v="9956" in="1">
        <tpls c="4">
          <tpl fld="8" item="0"/>
          <tpl fld="9" item="4"/>
          <tpl fld="2" item="22"/>
          <tpl hier="64" item="0"/>
        </tpls>
      </n>
      <n v="9972995.4900000002" in="0">
        <tpls c="5">
          <tpl fld="4" item="22"/>
          <tpl fld="8" item="0"/>
          <tpl fld="9" item="0"/>
          <tpl fld="10" item="1"/>
          <tpl hier="64" item="0"/>
        </tpls>
      </n>
      <n v="0" in="0">
        <tpls c="4">
          <tpl fld="8" item="0"/>
          <tpl fld="9" item="1"/>
          <tpl fld="2" item="3"/>
          <tpl hier="64" item="0"/>
        </tpls>
      </n>
      <n v="4103" in="1">
        <tpls c="4">
          <tpl fld="8" item="0"/>
          <tpl fld="9" item="4"/>
          <tpl fld="2" item="20"/>
          <tpl hier="64" item="0"/>
        </tpls>
      </n>
      <n v="31957" in="1">
        <tpls c="5">
          <tpl fld="4" item="16"/>
          <tpl fld="8" item="0"/>
          <tpl fld="9" item="5"/>
          <tpl fld="1" item="1"/>
          <tpl hier="64" item="0"/>
        </tpls>
      </n>
      <n v="0" in="0">
        <tpls c="5">
          <tpl fld="4" item="7"/>
          <tpl fld="8" item="0"/>
          <tpl fld="9" item="0"/>
          <tpl fld="10" item="1"/>
          <tpl hier="64" item="0"/>
        </tpls>
      </n>
      <n v="3141899.95" in="0">
        <tpls c="4">
          <tpl fld="8" item="0"/>
          <tpl fld="9" item="1"/>
          <tpl fld="2" item="4"/>
          <tpl hier="64" item="0"/>
        </tpls>
      </n>
      <n v="2499" in="1">
        <tpls c="4">
          <tpl fld="8" item="0"/>
          <tpl fld="9" item="5"/>
          <tpl fld="2" item="13"/>
          <tpl hier="64" item="0"/>
        </tpls>
      </n>
      <n v="61" in="1">
        <tpls c="5">
          <tpl fld="4" item="6"/>
          <tpl fld="8" item="0"/>
          <tpl fld="9" item="5"/>
          <tpl hier="54" item="4294967295"/>
          <tpl hier="64" item="0"/>
        </tpls>
      </n>
      <m>
        <tpls c="4">
          <tpl fld="8" item="0"/>
          <tpl fld="9" item="2"/>
          <tpl fld="7" item="1"/>
          <tpl hier="64" item="0"/>
        </tpls>
      </m>
      <n v="89837486.829999998" in="0">
        <tpls c="5">
          <tpl fld="4" item="11"/>
          <tpl fld="8" item="0"/>
          <tpl fld="9" item="0"/>
          <tpl hier="60" item="4294967295"/>
          <tpl hier="64" item="0"/>
        </tpls>
      </n>
      <n v="591662445.19000018" in="0">
        <tpls c="5">
          <tpl fld="4" item="13"/>
          <tpl fld="8" item="0"/>
          <tpl fld="9" item="0"/>
          <tpl hier="60" item="4294967295"/>
          <tpl hier="64" item="0"/>
        </tpls>
      </n>
      <n v="4" in="1">
        <tpls c="4">
          <tpl fld="8" item="0"/>
          <tpl fld="9" item="5"/>
          <tpl fld="2" item="19"/>
          <tpl hier="64" item="0"/>
        </tpls>
      </n>
      <n v="4708110.6999999993" in="0">
        <tpls c="4">
          <tpl fld="8" item="0"/>
          <tpl fld="9" item="0"/>
          <tpl fld="2" item="14"/>
          <tpl hier="64" item="0"/>
        </tpls>
      </n>
      <n v="0" in="0">
        <tpls c="4">
          <tpl fld="8" item="0"/>
          <tpl fld="9" item="0"/>
          <tpl fld="2" item="0"/>
          <tpl hier="64" item="0"/>
        </tpls>
      </n>
      <n v="129" in="1">
        <tpls c="4">
          <tpl fld="8" item="0"/>
          <tpl fld="9" item="5"/>
          <tpl fld="2" item="12"/>
          <tpl hier="64" item="0"/>
        </tpls>
      </n>
      <n v="16780861.300000001" in="0">
        <tpls c="4">
          <tpl fld="8" item="0"/>
          <tpl fld="9" item="1"/>
          <tpl fld="2" item="11"/>
          <tpl hier="64" item="0"/>
        </tpls>
      </n>
      <n v="430798761.95000005" in="0">
        <tpls c="4">
          <tpl fld="8" item="0"/>
          <tpl fld="9" item="1"/>
          <tpl fld="1" item="1"/>
          <tpl hier="64" item="0"/>
        </tpls>
      </n>
      <n v="2" in="1">
        <tpls c="4">
          <tpl fld="8" item="0"/>
          <tpl fld="9" item="4"/>
          <tpl fld="2" item="17"/>
          <tpl hier="64" item="0"/>
        </tpls>
      </n>
      <n v="1662116880.1800003" in="0">
        <tpls c="4">
          <tpl fld="8" item="0"/>
          <tpl fld="9" item="0"/>
          <tpl hier="54" item="4294967295"/>
          <tpl hier="64" item="0"/>
        </tpls>
      </n>
      <n v="690759.95" in="0">
        <tpls c="4">
          <tpl fld="8" item="0"/>
          <tpl fld="9" item="1"/>
          <tpl fld="2" item="21"/>
          <tpl hier="64" item="0"/>
        </tpls>
      </n>
      <n v="1123041" in="1">
        <tpls c="4">
          <tpl fld="8" item="0"/>
          <tpl fld="9" item="5"/>
          <tpl fld="1" item="1"/>
          <tpl hier="64" item="0"/>
        </tpls>
      </n>
      <n v="4850" in="1">
        <tpls c="4">
          <tpl fld="8" item="0"/>
          <tpl fld="9" item="5"/>
          <tpl fld="2" item="24"/>
          <tpl hier="64" item="0"/>
        </tpls>
      </n>
      <n v="77134" in="1">
        <tpls c="5">
          <tpl fld="4" item="14"/>
          <tpl fld="8" item="0"/>
          <tpl fld="9" item="5"/>
          <tpl fld="1" item="1"/>
          <tpl hier="64" item="0"/>
        </tpls>
      </n>
      <n v="0" in="0">
        <tpls c="5">
          <tpl fld="4" item="5"/>
          <tpl fld="8" item="0"/>
          <tpl fld="9" item="0"/>
          <tpl fld="10" item="1"/>
          <tpl hier="64" item="0"/>
        </tpls>
      </n>
      <n v="382494.64" in="0">
        <tpls c="4">
          <tpl fld="8" item="0"/>
          <tpl fld="9" item="0"/>
          <tpl fld="2" item="8"/>
          <tpl hier="64" item="0"/>
        </tpls>
      </n>
      <n v="279277" in="1">
        <tpls c="5">
          <tpl fld="4" item="0"/>
          <tpl fld="8" item="0"/>
          <tpl fld="9" item="5"/>
          <tpl hier="54" item="4294967295"/>
          <tpl hier="64" item="0"/>
        </tpls>
      </n>
      <m>
        <tpls c="5">
          <tpl fld="4" item="18"/>
          <tpl fld="8" item="0"/>
          <tpl fld="9" item="5"/>
          <tpl fld="1" item="1"/>
          <tpl hier="64" item="0"/>
        </tpls>
      </m>
      <n v="517" in="1">
        <tpls c="4">
          <tpl fld="8" item="0"/>
          <tpl fld="9" item="4"/>
          <tpl fld="2" item="13"/>
          <tpl hier="64" item="0"/>
        </tpls>
      </n>
      <n v="3536" in="1">
        <tpls c="4">
          <tpl fld="8" item="0"/>
          <tpl fld="9" item="5"/>
          <tpl fld="2" item="1"/>
          <tpl hier="64" item="0"/>
        </tpls>
      </n>
      <n v="28749741.999999996" in="0">
        <tpls c="5">
          <tpl fld="4" item="16"/>
          <tpl fld="8" item="0"/>
          <tpl fld="9" item="0"/>
          <tpl hier="60" item="4294967295"/>
          <tpl hier="64" item="0"/>
        </tpls>
      </n>
      <n v="38675425.450000003" in="0">
        <tpls c="5">
          <tpl fld="4" item="25"/>
          <tpl fld="8" item="0"/>
          <tpl fld="9" item="0"/>
          <tpl fld="10" item="0"/>
          <tpl hier="64" item="0"/>
        </tpls>
      </n>
      <n v="33524587.369999997" in="0">
        <tpls c="4">
          <tpl fld="8" item="0"/>
          <tpl fld="9" item="1"/>
          <tpl fld="2" item="20"/>
          <tpl hier="64" item="0"/>
        </tpls>
      </n>
      <n v="2900719.61" in="0">
        <tpls c="4">
          <tpl fld="8" item="0"/>
          <tpl fld="9" item="0"/>
          <tpl fld="2" item="17"/>
          <tpl hier="64" item="0"/>
        </tpls>
      </n>
      <n v="5307" in="1">
        <tpls c="5">
          <tpl fld="4" item="10"/>
          <tpl fld="8" item="0"/>
          <tpl fld="9" item="5"/>
          <tpl hier="54" item="4294967295"/>
          <tpl hier="64" item="0"/>
        </tpls>
      </n>
      <n v="0" in="0">
        <tpls c="4">
          <tpl fld="8" item="0"/>
          <tpl fld="9" item="1"/>
          <tpl fld="2" item="0"/>
          <tpl hier="64" item="0"/>
        </tpls>
      </n>
      <n v="839324.23" in="0">
        <tpls c="4">
          <tpl fld="8" item="1"/>
          <tpl fld="9" item="1"/>
          <tpl fld="2" item="21"/>
          <tpl hier="64" item="0"/>
        </tpls>
      </n>
      <n v="38215800.850000009" in="0">
        <tpls c="4">
          <tpl fld="8" item="1"/>
          <tpl fld="9" item="1"/>
          <tpl fld="2" item="20"/>
          <tpl hier="64" item="0"/>
        </tpls>
      </n>
      <n v="238544434.78" in="0">
        <tpls c="4">
          <tpl fld="8" item="1"/>
          <tpl fld="9" item="1"/>
          <tpl fld="1" item="0"/>
          <tpl hier="64" item="0"/>
        </tpls>
      </n>
      <n v="0" in="0">
        <tpls c="4">
          <tpl fld="8" item="1"/>
          <tpl fld="9" item="1"/>
          <tpl fld="2" item="18"/>
          <tpl hier="64" item="0"/>
        </tpls>
      </n>
      <n v="69194994.76000002" in="0">
        <tpls c="4">
          <tpl fld="8" item="1"/>
          <tpl fld="9" item="1"/>
          <tpl fld="2" item="22"/>
          <tpl hier="64" item="0"/>
        </tpls>
      </n>
      <n v="0" in="0">
        <tpls c="4">
          <tpl fld="8" item="1"/>
          <tpl fld="9" item="1"/>
          <tpl fld="2" item="0"/>
          <tpl hier="64" item="0"/>
        </tpls>
      </n>
      <n v="658747.93000000005" in="0">
        <tpls c="4">
          <tpl fld="8" item="1"/>
          <tpl fld="9" item="1"/>
          <tpl fld="2" item="12"/>
          <tpl hier="64" item="0"/>
        </tpls>
      </n>
      <n v="2430894.0500000003" in="0">
        <tpls c="4">
          <tpl fld="8" item="1"/>
          <tpl fld="9" item="1"/>
          <tpl fld="2" item="7"/>
          <tpl hier="64" item="0"/>
        </tpls>
      </n>
      <n v="2527093.4099999997" in="0">
        <tpls c="4">
          <tpl fld="8" item="1"/>
          <tpl fld="9" item="1"/>
          <tpl fld="2" item="13"/>
          <tpl hier="64" item="0"/>
        </tpls>
      </n>
      <n v="22515391.73" in="0">
        <tpls c="4">
          <tpl fld="8" item="1"/>
          <tpl fld="9" item="1"/>
          <tpl fld="2" item="23"/>
          <tpl hier="64" item="0"/>
        </tpls>
      </n>
      <n v="699426682.80000007" in="0">
        <tpls c="4">
          <tpl fld="8" item="1"/>
          <tpl fld="9" item="1"/>
          <tpl hier="54" item="4294967295"/>
          <tpl hier="64" item="0"/>
        </tpls>
      </n>
      <n v="22813635.310000002" in="0">
        <tpls c="4">
          <tpl fld="8" item="1"/>
          <tpl fld="9" item="1"/>
          <tpl fld="2" item="15"/>
          <tpl hier="64" item="0"/>
        </tpls>
      </n>
      <n v="17168559.859999999" in="0">
        <tpls c="4">
          <tpl fld="8" item="1"/>
          <tpl fld="9" item="1"/>
          <tpl fld="2" item="11"/>
          <tpl hier="64" item="0"/>
        </tpls>
      </n>
      <n v="217316679.46000001" in="0">
        <tpls c="4">
          <tpl fld="8" item="1"/>
          <tpl fld="9" item="1"/>
          <tpl fld="2" item="16"/>
          <tpl hier="64" item="0"/>
        </tpls>
      </n>
      <n v="24271.43" in="0">
        <tpls c="4">
          <tpl fld="8" item="1"/>
          <tpl fld="9" item="1"/>
          <tpl fld="2" item="8"/>
          <tpl hier="64" item="0"/>
        </tpls>
      </n>
      <n v="0" in="0">
        <tpls c="4">
          <tpl fld="8" item="1"/>
          <tpl fld="9" item="0"/>
          <tpl fld="3" item="4"/>
          <tpl hier="64" item="0"/>
        </tpls>
      </n>
      <n v="735535.38000000012" in="0">
        <tpls c="4">
          <tpl fld="8" item="1"/>
          <tpl fld="9" item="1"/>
          <tpl fld="2" item="24"/>
          <tpl hier="64" item="0"/>
        </tpls>
      </n>
      <n v="161290821.96000001" in="0">
        <tpls c="4">
          <tpl fld="8" item="1"/>
          <tpl fld="9" item="1"/>
          <tpl fld="2" item="6"/>
          <tpl hier="64" item="0"/>
        </tpls>
      </n>
      <n v="1229511" in="0">
        <tpls c="4">
          <tpl fld="8" item="1"/>
          <tpl fld="9" item="1"/>
          <tpl fld="2" item="14"/>
          <tpl hier="64" item="0"/>
        </tpls>
      </n>
      <n v="0" in="0">
        <tpls c="4">
          <tpl fld="8" item="1"/>
          <tpl fld="9" item="1"/>
          <tpl fld="2" item="3"/>
          <tpl hier="64" item="0"/>
        </tpls>
      </n>
      <n v="1146803.24" in="0">
        <tpls c="4">
          <tpl fld="8" item="1"/>
          <tpl fld="9" item="1"/>
          <tpl fld="2" item="1"/>
          <tpl hier="64" item="0"/>
        </tpls>
      </n>
      <n v="1800" in="0">
        <tpls c="4">
          <tpl fld="8" item="1"/>
          <tpl fld="9" item="1"/>
          <tpl fld="2" item="17"/>
          <tpl hier="64" item="0"/>
        </tpls>
      </n>
      <n v="460882248.0200001" in="0">
        <tpls c="4">
          <tpl fld="8" item="1"/>
          <tpl fld="9" item="1"/>
          <tpl fld="1" item="1"/>
          <tpl hier="64" item="0"/>
        </tpls>
      </n>
      <n v="41434.86" in="0">
        <tpls c="4">
          <tpl fld="8" item="1"/>
          <tpl fld="9" item="1"/>
          <tpl fld="2" item="19"/>
          <tpl hier="64" item="0"/>
        </tpls>
      </n>
      <n v="99748081.25999999" in="0">
        <tpls c="4">
          <tpl fld="8" item="1"/>
          <tpl fld="9" item="1"/>
          <tpl fld="2" item="9"/>
          <tpl hier="64" item="0"/>
        </tpls>
      </n>
      <n v="1960138.97" in="0">
        <tpls c="4">
          <tpl fld="8" item="1"/>
          <tpl fld="9" item="1"/>
          <tpl fld="2" item="10"/>
          <tpl hier="64" item="0"/>
        </tpls>
      </n>
      <n v="20715722.030000005" in="0">
        <tpls c="4">
          <tpl fld="8" item="1"/>
          <tpl fld="9" item="1"/>
          <tpl fld="2" item="5"/>
          <tpl hier="64" item="0"/>
        </tpls>
      </n>
      <n v="4040913.04" in="0">
        <tpls c="4">
          <tpl fld="8" item="1"/>
          <tpl fld="9" item="1"/>
          <tpl fld="2" item="4"/>
          <tpl hier="64" item="0"/>
        </tpls>
      </n>
      <n v="14810528.039999999" in="0">
        <tpls c="4">
          <tpl fld="8" item="1"/>
          <tpl fld="9" item="1"/>
          <tpl fld="2" item="2"/>
          <tpl hier="64" item="0"/>
        </tpls>
      </n>
      <n v="712" in="1">
        <tpls c="4">
          <tpl fld="8" item="1"/>
          <tpl fld="9" item="4"/>
          <tpl fld="2" item="4"/>
          <tpl hier="64" item="0"/>
        </tpls>
      </n>
      <n v="288102" in="1">
        <tpls c="4">
          <tpl fld="8" item="0"/>
          <tpl fld="9" item="5"/>
          <tpl fld="3" item="58"/>
          <tpl hier="64" item="0"/>
        </tpls>
      </n>
      <n v="87652627.230000004" in="0">
        <tpls c="5">
          <tpl fld="4" item="11"/>
          <tpl fld="8" item="1"/>
          <tpl fld="9" item="0"/>
          <tpl hier="60" item="4294967295"/>
          <tpl hier="64" item="0"/>
        </tpls>
      </n>
      <n v="0" in="1">
        <tpls c="4">
          <tpl fld="8" item="1"/>
          <tpl fld="9" item="5"/>
          <tpl fld="2" item="3"/>
          <tpl hier="64" item="0"/>
        </tpls>
      </n>
      <n v="10201" in="1">
        <tpls c="4">
          <tpl fld="8" item="0"/>
          <tpl fld="9" item="5"/>
          <tpl fld="3" item="3"/>
          <tpl hier="64" item="0"/>
        </tpls>
      </n>
      <n v="8709" in="1">
        <tpls c="5">
          <tpl fld="4" item="1"/>
          <tpl fld="8" item="1"/>
          <tpl fld="9" item="5"/>
          <tpl fld="1" item="1"/>
          <tpl hier="64" item="0"/>
        </tpls>
      </n>
      <n v="166" in="1">
        <tpls c="4">
          <tpl fld="8" item="0"/>
          <tpl fld="9" item="5"/>
          <tpl fld="3" item="63"/>
          <tpl hier="64" item="0"/>
        </tpls>
      </n>
      <n v="37736" in="1">
        <tpls c="4">
          <tpl fld="8" item="1"/>
          <tpl fld="9" item="5"/>
          <tpl fld="2" item="23"/>
          <tpl hier="64" item="0"/>
        </tpls>
      </n>
      <m>
        <tpls c="5">
          <tpl fld="4" item="15"/>
          <tpl fld="8" item="1"/>
          <tpl fld="9" item="5"/>
          <tpl fld="1" item="1"/>
          <tpl hier="64" item="0"/>
        </tpls>
      </m>
      <n v="66338790.769999996" in="0">
        <tpls c="4">
          <tpl fld="8" item="1"/>
          <tpl fld="9" item="0"/>
          <tpl fld="2" item="23"/>
          <tpl hier="64" item="0"/>
        </tpls>
      </n>
      <n v="294732" in="1">
        <tpls c="4">
          <tpl fld="8" item="1"/>
          <tpl fld="9" item="5"/>
          <tpl fld="2" item="6"/>
          <tpl hier="64" item="0"/>
        </tpls>
      </n>
      <n v="5474021.8500000006" in="0">
        <tpls c="5">
          <tpl fld="4" item="19"/>
          <tpl fld="8" item="1"/>
          <tpl fld="9" item="0"/>
          <tpl fld="10" item="1"/>
          <tpl hier="64" item="0"/>
        </tpls>
      </n>
      <n v="12084" in="1">
        <tpls c="5">
          <tpl fld="4" item="22"/>
          <tpl fld="8" item="1"/>
          <tpl fld="9" item="5"/>
          <tpl fld="1" item="1"/>
          <tpl hier="64" item="0"/>
        </tpls>
      </n>
      <n v="0" in="1">
        <tpls c="4">
          <tpl fld="8" item="1"/>
          <tpl fld="9" item="4"/>
          <tpl fld="3" item="4"/>
          <tpl hier="64" item="0"/>
        </tpls>
      </n>
      <n v="9795" in="1">
        <tpls c="4">
          <tpl fld="8" item="1"/>
          <tpl fld="9" item="4"/>
          <tpl fld="2" item="10"/>
          <tpl hier="64" item="0"/>
        </tpls>
      </n>
      <n v="160" in="1">
        <tpls c="4">
          <tpl fld="8" item="0"/>
          <tpl fld="9" item="4"/>
          <tpl fld="3" item="3"/>
          <tpl hier="64" item="0"/>
        </tpls>
      </n>
      <n v="0" in="1">
        <tpls c="4">
          <tpl fld="8" item="0"/>
          <tpl fld="9" item="4"/>
          <tpl fld="3" item="2"/>
          <tpl hier="64" item="0"/>
        </tpls>
      </n>
      <n v="2" in="1">
        <tpls c="4">
          <tpl fld="8" item="1"/>
          <tpl fld="9" item="4"/>
          <tpl fld="3" item="12"/>
          <tpl hier="64" item="0"/>
        </tpls>
      </n>
      <n v="1636" in="1">
        <tpls c="4">
          <tpl fld="8" item="1"/>
          <tpl fld="9" item="5"/>
          <tpl fld="3" item="40"/>
          <tpl hier="64" item="0"/>
        </tpls>
      </n>
      <n v="0" in="0">
        <tpls c="5">
          <tpl fld="4" item="9"/>
          <tpl fld="8" item="1"/>
          <tpl fld="9" item="0"/>
          <tpl fld="10" item="0"/>
          <tpl hier="64" item="0"/>
        </tpls>
      </n>
      <n v="0" in="1">
        <tpls c="4">
          <tpl fld="8" item="0"/>
          <tpl fld="9" item="4"/>
          <tpl fld="3" item="8"/>
          <tpl hier="64" item="0"/>
        </tpls>
      </n>
      <n v="20965682.799999997" in="0">
        <tpls c="5">
          <tpl fld="4" item="24"/>
          <tpl fld="8" item="1"/>
          <tpl fld="9" item="0"/>
          <tpl fld="10" item="0"/>
          <tpl hier="64" item="0"/>
        </tpls>
      </n>
      <n v="0" in="1">
        <tpls c="4">
          <tpl fld="8" item="1"/>
          <tpl fld="9" item="4"/>
          <tpl fld="2" item="0"/>
          <tpl hier="64" item="0"/>
        </tpls>
      </n>
      <n v="3241051.3299999996" in="0">
        <tpls c="5">
          <tpl fld="4" item="15"/>
          <tpl fld="8" item="1"/>
          <tpl fld="9" item="0"/>
          <tpl fld="10" item="0"/>
          <tpl hier="64" item="0"/>
        </tpls>
      </n>
      <n v="7527" in="1">
        <tpls c="4">
          <tpl fld="8" item="1"/>
          <tpl fld="9" item="4"/>
          <tpl fld="2" item="16"/>
          <tpl hier="64" item="0"/>
        </tpls>
      </n>
      <n v="3756897.74" in="0">
        <tpls c="4">
          <tpl fld="8" item="1"/>
          <tpl fld="9" item="0"/>
          <tpl fld="2" item="17"/>
          <tpl hier="64" item="0"/>
        </tpls>
      </n>
      <n v="2672" in="1">
        <tpls c="4">
          <tpl fld="8" item="1"/>
          <tpl fld="9" item="4"/>
          <tpl fld="2" item="5"/>
          <tpl hier="64" item="0"/>
        </tpls>
      </n>
      <n v="14688" in="1">
        <tpls c="5">
          <tpl fld="4" item="8"/>
          <tpl fld="8" item="1"/>
          <tpl fld="9" item="5"/>
          <tpl fld="1" item="0"/>
          <tpl hier="64" item="0"/>
        </tpls>
      </n>
      <n v="572041.85" in="0">
        <tpls c="4">
          <tpl fld="8" item="0"/>
          <tpl fld="9" item="1"/>
          <tpl fld="3" item="14"/>
          <tpl hier="64" item="0"/>
        </tpls>
      </n>
      <n v="24417680.169999998" in="0">
        <tpls c="4">
          <tpl fld="8" item="1"/>
          <tpl fld="9" item="0"/>
          <tpl fld="2" item="4"/>
          <tpl hier="64" item="0"/>
        </tpls>
      </n>
      <n v="2275" in="1">
        <tpls c="5">
          <tpl fld="4" item="4"/>
          <tpl fld="8" item="1"/>
          <tpl fld="9" item="5"/>
          <tpl hier="54" item="4294967295"/>
          <tpl hier="64" item="0"/>
        </tpls>
      </n>
      <n v="16766" in="1">
        <tpls c="4">
          <tpl fld="8" item="1"/>
          <tpl fld="9" item="4"/>
          <tpl fld="2" item="9"/>
          <tpl hier="64" item="0"/>
        </tpls>
      </n>
      <n v="0" in="0">
        <tpls c="4">
          <tpl fld="8" item="1"/>
          <tpl fld="9" item="1"/>
          <tpl fld="3" item="1"/>
          <tpl hier="64" item="0"/>
        </tpls>
      </n>
      <n v="1887" in="1">
        <tpls c="4">
          <tpl fld="8" item="1"/>
          <tpl fld="9" item="5"/>
          <tpl fld="2" item="11"/>
          <tpl hier="64" item="0"/>
        </tpls>
      </n>
      <n v="149465" in="1">
        <tpls c="5">
          <tpl fld="4" item="19"/>
          <tpl fld="8" item="1"/>
          <tpl fld="9" item="5"/>
          <tpl hier="54" item="4294967295"/>
          <tpl hier="64" item="0"/>
        </tpls>
      </n>
      <n v="13" in="1">
        <tpls c="4">
          <tpl fld="8" item="1"/>
          <tpl fld="9" item="4"/>
          <tpl fld="3" item="14"/>
          <tpl hier="64" item="0"/>
        </tpls>
      </n>
      <n v="15" in="1">
        <tpls c="4">
          <tpl fld="8" item="1"/>
          <tpl fld="9" item="4"/>
          <tpl fld="3" item="17"/>
          <tpl hier="64" item="0"/>
        </tpls>
      </n>
      <n v="0" in="1">
        <tpls c="4">
          <tpl fld="8" item="1"/>
          <tpl fld="9" item="4"/>
          <tpl fld="2" item="8"/>
          <tpl hier="64" item="0"/>
        </tpls>
      </n>
      <n v="2819627.04" in="0">
        <tpls c="4">
          <tpl fld="8" item="0"/>
          <tpl fld="9" item="0"/>
          <tpl fld="3" item="53"/>
          <tpl hier="64" item="0"/>
        </tpls>
      </n>
      <n v="15013" in="1">
        <tpls c="5">
          <tpl fld="4" item="15"/>
          <tpl fld="8" item="1"/>
          <tpl fld="9" item="5"/>
          <tpl hier="54" item="4294967295"/>
          <tpl hier="64" item="0"/>
        </tpls>
      </n>
      <n v="0" in="1">
        <tpls c="5">
          <tpl fld="4" item="5"/>
          <tpl fld="8" item="1"/>
          <tpl fld="9" item="5"/>
          <tpl fld="1" item="1"/>
          <tpl hier="64" item="0"/>
        </tpls>
      </n>
      <n v="899554.3" in="0">
        <tpls c="4">
          <tpl fld="8" item="0"/>
          <tpl fld="9" item="0"/>
          <tpl fld="3" item="63"/>
          <tpl hier="64" item="0"/>
        </tpls>
      </n>
      <m>
        <tpls c="5">
          <tpl fld="4" item="20"/>
          <tpl fld="8" item="1"/>
          <tpl fld="9" item="0"/>
          <tpl fld="10" item="0"/>
          <tpl hier="64" item="0"/>
        </tpls>
      </m>
      <n v="0" in="0">
        <tpls c="4">
          <tpl fld="8" item="1"/>
          <tpl fld="9" item="1"/>
          <tpl fld="3" item="4"/>
          <tpl hier="64" item="0"/>
        </tpls>
      </n>
      <n v="1962824.76" in="0">
        <tpls c="4">
          <tpl fld="8" item="1"/>
          <tpl fld="9" item="0"/>
          <tpl fld="2" item="18"/>
          <tpl hier="64" item="0"/>
        </tpls>
      </n>
      <n v="46839" in="1">
        <tpls c="4">
          <tpl fld="8" item="1"/>
          <tpl fld="9" item="5"/>
          <tpl fld="2" item="2"/>
          <tpl hier="64" item="0"/>
        </tpls>
      </n>
      <n v="62299977.020000003" in="0">
        <tpls c="5">
          <tpl fld="4" item="25"/>
          <tpl fld="8" item="1"/>
          <tpl fld="9" item="0"/>
          <tpl hier="60" item="4294967295"/>
          <tpl hier="64" item="0"/>
        </tpls>
      </n>
      <n v="392116404.52000004" in="0">
        <tpls c="4">
          <tpl fld="8" item="1"/>
          <tpl fld="9" item="0"/>
          <tpl fld="2" item="16"/>
          <tpl hier="64" item="0"/>
        </tpls>
      </n>
      <m>
        <tpls c="5">
          <tpl fld="4" item="10"/>
          <tpl fld="8" item="1"/>
          <tpl fld="9" item="0"/>
          <tpl fld="10" item="0"/>
          <tpl hier="64" item="0"/>
        </tpls>
      </m>
      <n v="7421718.3199999994" in="0">
        <tpls c="4">
          <tpl fld="8" item="1"/>
          <tpl fld="9" item="0"/>
          <tpl fld="3" item="46"/>
          <tpl hier="64" item="0"/>
        </tpls>
      </n>
      <n v="115768" in="1">
        <tpls c="5">
          <tpl fld="4" item="25"/>
          <tpl fld="8" item="1"/>
          <tpl fld="9" item="5"/>
          <tpl fld="1" item="0"/>
          <tpl hier="64" item="0"/>
        </tpls>
      </n>
      <n v="335" in="1">
        <tpls c="4">
          <tpl fld="8" item="0"/>
          <tpl fld="9" item="4"/>
          <tpl fld="3" item="0"/>
          <tpl hier="64" item="0"/>
        </tpls>
      </n>
      <n v="14" in="1">
        <tpls c="4">
          <tpl fld="8" item="0"/>
          <tpl fld="9" item="4"/>
          <tpl fld="3" item="14"/>
          <tpl hier="64" item="0"/>
        </tpls>
      </n>
      <n v="0" in="0">
        <tpls c="4">
          <tpl fld="8" item="1"/>
          <tpl fld="9" item="0"/>
          <tpl fld="2" item="0"/>
          <tpl hier="64" item="0"/>
        </tpls>
      </n>
      <n v="23821784.210000001" in="0">
        <tpls c="5">
          <tpl fld="4" item="17"/>
          <tpl fld="8" item="1"/>
          <tpl fld="9" item="0"/>
          <tpl hier="60" item="4294967295"/>
          <tpl hier="64" item="0"/>
        </tpls>
      </n>
      <n v="8257" in="1">
        <tpls c="5">
          <tpl fld="4" item="3"/>
          <tpl fld="8" item="1"/>
          <tpl fld="9" item="5"/>
          <tpl hier="54" item="4294967295"/>
          <tpl hier="64" item="0"/>
        </tpls>
      </n>
      <n v="0" in="1">
        <tpls c="4">
          <tpl fld="8" item="1"/>
          <tpl fld="9" item="5"/>
          <tpl fld="2" item="0"/>
          <tpl hier="64" item="0"/>
        </tpls>
      </n>
      <n v="32720092.970000003" in="0">
        <tpls c="5">
          <tpl fld="4" item="16"/>
          <tpl fld="8" item="1"/>
          <tpl fld="9" item="0"/>
          <tpl fld="10" item="1"/>
          <tpl hier="64" item="0"/>
        </tpls>
      </n>
      <n v="41257746.979999997" in="0">
        <tpls c="5">
          <tpl fld="4" item="19"/>
          <tpl fld="8" item="1"/>
          <tpl fld="9" item="0"/>
          <tpl hier="60" item="4294967295"/>
          <tpl hier="64" item="0"/>
        </tpls>
      </n>
      <n v="1057776" in="1">
        <tpls c="4">
          <tpl fld="8" item="1"/>
          <tpl fld="9" item="5"/>
          <tpl fld="1" item="1"/>
          <tpl hier="64" item="0"/>
        </tpls>
      </n>
      <n v="0" in="0">
        <tpls c="4">
          <tpl fld="8" item="1"/>
          <tpl fld="9" item="1"/>
          <tpl fld="3" item="7"/>
          <tpl hier="64" item="0"/>
        </tpls>
      </n>
      <n v="164184641.84000003" in="0">
        <tpls c="4">
          <tpl fld="8" item="1"/>
          <tpl fld="9" item="0"/>
          <tpl fld="2" item="20"/>
          <tpl hier="64" item="0"/>
        </tpls>
      </n>
      <n v="9" in="1">
        <tpls c="4">
          <tpl fld="8" item="0"/>
          <tpl fld="9" item="4"/>
          <tpl fld="3" item="29"/>
          <tpl hier="64" item="0"/>
        </tpls>
      </n>
      <n v="131671393.01000006" in="0">
        <tpls c="5">
          <tpl fld="4" item="9"/>
          <tpl fld="8" item="1"/>
          <tpl fld="9" item="0"/>
          <tpl hier="60" item="4294967295"/>
          <tpl hier="64" item="0"/>
        </tpls>
      </n>
      <n v="1188651953.5700004" in="0">
        <tpls c="5">
          <tpl hier="22" item="4294967295"/>
          <tpl fld="8" item="1"/>
          <tpl fld="9" item="0"/>
          <tpl fld="10" item="1"/>
          <tpl hier="64" item="0"/>
        </tpls>
      </n>
      <n v="88536206.079999983" in="0">
        <tpls c="4">
          <tpl fld="8" item="1"/>
          <tpl fld="9" item="0"/>
          <tpl fld="2" item="5"/>
          <tpl hier="64" item="0"/>
        </tpls>
      </n>
      <n v="0" in="0">
        <tpls c="4">
          <tpl fld="8" item="0"/>
          <tpl fld="9" item="1"/>
          <tpl fld="3" item="37"/>
          <tpl hier="64" item="0"/>
        </tpls>
      </n>
      <n v="131671393.01000006" in="0">
        <tpls c="5">
          <tpl fld="4" item="9"/>
          <tpl fld="8" item="1"/>
          <tpl fld="9" item="0"/>
          <tpl fld="10" item="1"/>
          <tpl hier="64" item="0"/>
        </tpls>
      </n>
      <n v="151" in="1">
        <tpls c="4">
          <tpl fld="8" item="1"/>
          <tpl fld="9" item="5"/>
          <tpl fld="2" item="12"/>
          <tpl hier="64" item="0"/>
        </tpls>
      </n>
      <n v="293536.28000000003" in="0">
        <tpls c="5">
          <tpl fld="4" item="8"/>
          <tpl fld="8" item="1"/>
          <tpl fld="9" item="0"/>
          <tpl fld="10" item="0"/>
          <tpl hier="64" item="0"/>
        </tpls>
      </n>
      <n v="34" in="1">
        <tpls c="4">
          <tpl fld="8" item="1"/>
          <tpl fld="9" item="5"/>
          <tpl fld="3" item="16"/>
          <tpl hier="64" item="0"/>
        </tpls>
      </n>
      <n v="2498811" in="1">
        <tpls c="4">
          <tpl fld="8" item="1"/>
          <tpl fld="9" item="5"/>
          <tpl hier="54" item="4294967295"/>
          <tpl hier="64" item="0"/>
        </tpls>
      </n>
      <n v="27250" in="0">
        <tpls c="4">
          <tpl fld="8" item="1"/>
          <tpl fld="9" item="1"/>
          <tpl fld="3" item="12"/>
          <tpl hier="64" item="0"/>
        </tpls>
      </n>
      <n v="477783106.42000002" in="0">
        <tpls c="5">
          <tpl fld="4" item="13"/>
          <tpl fld="8" item="1"/>
          <tpl fld="9" item="0"/>
          <tpl fld="10" item="1"/>
          <tpl hier="64" item="0"/>
        </tpls>
      </n>
      <n v="785" in="1">
        <tpls c="4">
          <tpl fld="8" item="1"/>
          <tpl fld="9" item="4"/>
          <tpl fld="2" item="13"/>
          <tpl hier="64" item="0"/>
        </tpls>
      </n>
      <n v="1356909.14" in="0">
        <tpls c="5">
          <tpl fld="4" item="6"/>
          <tpl fld="8" item="1"/>
          <tpl fld="9" item="0"/>
          <tpl hier="60" item="4294967295"/>
          <tpl hier="64" item="0"/>
        </tpls>
      </n>
      <n v="0" in="0">
        <tpls c="4">
          <tpl fld="8" item="1"/>
          <tpl fld="9" item="0"/>
          <tpl fld="2" item="3"/>
          <tpl hier="64" item="0"/>
        </tpls>
      </n>
      <n v="961" in="1">
        <tpls c="4">
          <tpl fld="8" item="1"/>
          <tpl fld="9" item="5"/>
          <tpl fld="3" item="45"/>
          <tpl hier="64" item="0"/>
        </tpls>
      </n>
      <n v="6303778.8099999996" in="0">
        <tpls c="5">
          <tpl fld="4" item="5"/>
          <tpl fld="8" item="1"/>
          <tpl fld="9" item="0"/>
          <tpl fld="10" item="0"/>
          <tpl hier="64" item="0"/>
        </tpls>
      </n>
      <n v="293536.28000000003" in="0">
        <tpls c="5">
          <tpl fld="4" item="8"/>
          <tpl fld="8" item="1"/>
          <tpl fld="9" item="0"/>
          <tpl hier="60" item="4294967295"/>
          <tpl hier="64" item="0"/>
        </tpls>
      </n>
      <n v="920" in="1">
        <tpls c="4">
          <tpl fld="8" item="1"/>
          <tpl fld="9" item="5"/>
          <tpl fld="2" item="8"/>
          <tpl hier="64" item="0"/>
        </tpls>
      </n>
      <n v="1620508173.1999998" in="0">
        <tpls c="4">
          <tpl fld="8" item="1"/>
          <tpl fld="9" item="0"/>
          <tpl hier="54" item="4294967295"/>
          <tpl hier="64" item="0"/>
        </tpls>
      </n>
      <n v="1188651953.5699999" in="0">
        <tpls c="4">
          <tpl fld="8" item="1"/>
          <tpl fld="9" item="0"/>
          <tpl fld="1" item="1"/>
          <tpl hier="64" item="0"/>
        </tpls>
      </n>
      <n v="7463" in="1">
        <tpls c="4">
          <tpl fld="8" item="1"/>
          <tpl fld="9" item="5"/>
          <tpl fld="3" item="33"/>
          <tpl hier="64" item="0"/>
        </tpls>
      </n>
      <n v="2689" in="1">
        <tpls c="4">
          <tpl fld="8" item="1"/>
          <tpl fld="9" item="5"/>
          <tpl fld="3" item="17"/>
          <tpl hier="64" item="0"/>
        </tpls>
      </n>
      <n v="2" in="1">
        <tpls c="4">
          <tpl fld="8" item="0"/>
          <tpl fld="9" item="4"/>
          <tpl fld="3" item="61"/>
          <tpl hier="64" item="0"/>
        </tpls>
      </n>
      <n v="0" in="1">
        <tpls c="4">
          <tpl fld="8" item="1"/>
          <tpl fld="9" item="4"/>
          <tpl fld="3" item="79"/>
          <tpl hier="64" item="0"/>
        </tpls>
      </n>
      <n v="22" in="1">
        <tpls c="4">
          <tpl fld="8" item="0"/>
          <tpl fld="9" item="5"/>
          <tpl fld="3" item="81"/>
          <tpl hier="64" item="0"/>
        </tpls>
      </n>
      <n v="340516651.53000003" in="0">
        <tpls c="4">
          <tpl fld="8" item="1"/>
          <tpl fld="9" item="0"/>
          <tpl fld="3" item="84"/>
          <tpl hier="64" item="0"/>
        </tpls>
      </n>
      <n v="11908152.889999999" in="0">
        <tpls c="4">
          <tpl fld="8" item="1"/>
          <tpl fld="9" item="0"/>
          <tpl fld="3" item="86"/>
          <tpl hier="64" item="0"/>
        </tpls>
      </n>
      <n v="48901151.190000005" in="0">
        <tpls c="4">
          <tpl fld="8" item="1"/>
          <tpl fld="9" item="0"/>
          <tpl fld="3" item="89"/>
          <tpl hier="64" item="0"/>
        </tpls>
      </n>
      <n v="2691" in="1">
        <tpls c="4">
          <tpl fld="8" item="0"/>
          <tpl fld="9" item="5"/>
          <tpl fld="3" item="90"/>
          <tpl hier="64" item="0"/>
        </tpls>
      </n>
      <n v="29999" in="1">
        <tpls c="4">
          <tpl fld="8" item="1"/>
          <tpl fld="9" item="5"/>
          <tpl fld="3" item="55"/>
          <tpl hier="64" item="0"/>
        </tpls>
      </n>
      <n v="148727582104.75873" in="0">
        <tpls c="2">
          <tpl fld="9" item="0"/>
          <tpl fld="1" item="1"/>
        </tpls>
      </n>
      <n v="20604816.849999998" in="0">
        <tpls c="4">
          <tpl fld="8" item="0"/>
          <tpl fld="9" item="0"/>
          <tpl fld="3" item="44"/>
          <tpl hier="64" item="0"/>
        </tpls>
      </n>
      <n v="159208814.88" in="0">
        <tpls c="4">
          <tpl fld="8" item="1"/>
          <tpl fld="9" item="1"/>
          <tpl fld="3" item="48"/>
          <tpl hier="64" item="0"/>
        </tpls>
      </n>
      <n v="49260.079999999994" in="0">
        <tpls c="4">
          <tpl fld="8" item="0"/>
          <tpl fld="9" item="1"/>
          <tpl fld="3" item="96"/>
          <tpl hier="64" item="0"/>
        </tpls>
      </n>
      <n v="653" in="1">
        <tpls c="4">
          <tpl fld="8" item="1"/>
          <tpl fld="9" item="5"/>
          <tpl fld="3" item="9"/>
          <tpl hier="64" item="0"/>
        </tpls>
      </n>
      <n v="0" in="1">
        <tpls c="4">
          <tpl fld="8" item="1"/>
          <tpl fld="9" item="4"/>
          <tpl fld="2" item="17"/>
          <tpl hier="64" item="0"/>
        </tpls>
      </n>
      <n v="32720092.970000003" in="0">
        <tpls c="5">
          <tpl fld="4" item="16"/>
          <tpl fld="8" item="1"/>
          <tpl fld="9" item="0"/>
          <tpl hier="60" item="4294967295"/>
          <tpl hier="64" item="0"/>
        </tpls>
      </n>
      <n v="2385447.7199999997" in="0">
        <tpls c="5">
          <tpl fld="4" item="3"/>
          <tpl fld="8" item="1"/>
          <tpl fld="9" item="0"/>
          <tpl hier="60" item="4294967295"/>
          <tpl hier="64" item="0"/>
        </tpls>
      </n>
      <n v="12803746.050000001" in="0">
        <tpls c="4">
          <tpl fld="8" item="1"/>
          <tpl fld="9" item="0"/>
          <tpl fld="2" item="10"/>
          <tpl hier="64" item="0"/>
        </tpls>
      </n>
      <n v="8" in="1">
        <tpls c="4">
          <tpl fld="8" item="1"/>
          <tpl fld="9" item="4"/>
          <tpl fld="3" item="29"/>
          <tpl hier="64" item="0"/>
        </tpls>
      </n>
      <n v="3750287.62" in="0">
        <tpls c="4">
          <tpl fld="8" item="1"/>
          <tpl fld="9" item="1"/>
          <tpl fld="3" item="78"/>
          <tpl hier="64" item="0"/>
        </tpls>
      </n>
      <n v="15799670.999999998" in="0">
        <tpls c="4">
          <tpl fld="8" item="1"/>
          <tpl fld="9" item="0"/>
          <tpl fld="2" item="21"/>
          <tpl hier="64" item="0"/>
        </tpls>
      </n>
      <n v="3806" in="1">
        <tpls c="4">
          <tpl fld="8" item="1"/>
          <tpl fld="9" item="5"/>
          <tpl fld="2" item="1"/>
          <tpl hier="64" item="0"/>
        </tpls>
      </n>
      <n v="165348" in="1">
        <tpls c="5">
          <tpl fld="4" item="13"/>
          <tpl fld="8" item="1"/>
          <tpl fld="9" item="5"/>
          <tpl fld="1" item="0"/>
          <tpl hier="64" item="0"/>
        </tpls>
      </n>
      <m>
        <tpls c="5">
          <tpl fld="4" item="18"/>
          <tpl fld="8" item="1"/>
          <tpl fld="9" item="5"/>
          <tpl hier="54" item="4294967295"/>
          <tpl hier="64" item="0"/>
        </tpls>
      </m>
      <n v="28551682" in="0">
        <tpls c="5">
          <tpl fld="4" item="7"/>
          <tpl fld="8" item="1"/>
          <tpl fld="9" item="0"/>
          <tpl fld="10" item="0"/>
          <tpl hier="64" item="0"/>
        </tpls>
      </n>
      <n v="0" in="1">
        <tpls c="4">
          <tpl fld="8" item="1"/>
          <tpl fld="9" item="4"/>
          <tpl fld="2" item="3"/>
          <tpl hier="64" item="0"/>
        </tpls>
      </n>
      <n v="72991" in="1">
        <tpls c="4">
          <tpl fld="8" item="1"/>
          <tpl fld="9" item="4"/>
          <tpl fld="2" item="15"/>
          <tpl hier="64" item="0"/>
        </tpls>
      </n>
      <n v="89162231.050000012" in="0">
        <tpls c="5">
          <tpl fld="4" item="23"/>
          <tpl fld="8" item="1"/>
          <tpl fld="9" item="0"/>
          <tpl fld="10" item="1"/>
          <tpl hier="64" item="0"/>
        </tpls>
      </n>
      <n v="70705" in="1">
        <tpls c="5">
          <tpl fld="4" item="5"/>
          <tpl fld="8" item="1"/>
          <tpl fld="9" item="5"/>
          <tpl hier="54" item="4294967295"/>
          <tpl hier="64" item="0"/>
        </tpls>
      </n>
      <n v="54887" in="1">
        <tpls c="5">
          <tpl fld="4" item="11"/>
          <tpl fld="8" item="1"/>
          <tpl fld="9" item="5"/>
          <tpl fld="1" item="1"/>
          <tpl hier="64" item="0"/>
        </tpls>
      </n>
      <n v="20965682.799999997" in="0">
        <tpls c="5">
          <tpl fld="4" item="24"/>
          <tpl fld="8" item="1"/>
          <tpl fld="9" item="0"/>
          <tpl hier="60" item="4294967295"/>
          <tpl hier="64" item="0"/>
        </tpls>
      </n>
      <n v="21370248.239999998" in="0">
        <tpls c="4">
          <tpl fld="8" item="1"/>
          <tpl fld="9" item="0"/>
          <tpl fld="3" item="58"/>
          <tpl hier="64" item="0"/>
        </tpls>
      </n>
      <n v="23017" in="1">
        <tpls c="4">
          <tpl fld="8" item="0"/>
          <tpl fld="9" item="5"/>
          <tpl fld="3" item="6"/>
          <tpl hier="64" item="0"/>
        </tpls>
      </n>
      <n v="6" in="1">
        <tpls c="4">
          <tpl fld="8" item="1"/>
          <tpl fld="9" item="5"/>
          <tpl fld="2" item="19"/>
          <tpl hier="64" item="0"/>
        </tpls>
      </n>
      <m>
        <tpls c="5">
          <tpl fld="4" item="18"/>
          <tpl fld="8" item="1"/>
          <tpl fld="9" item="0"/>
          <tpl hier="60" item="4294967295"/>
          <tpl hier="64" item="0"/>
        </tpls>
      </m>
      <n v="63925" in="1">
        <tpls c="5">
          <tpl fld="4" item="24"/>
          <tpl fld="8" item="1"/>
          <tpl fld="9" item="5"/>
          <tpl hier="54" item="4294967295"/>
          <tpl hier="64" item="0"/>
        </tpls>
      </n>
      <n v="8709" in="1">
        <tpls c="5">
          <tpl fld="4" item="1"/>
          <tpl fld="8" item="1"/>
          <tpl fld="9" item="5"/>
          <tpl hier="54" item="4294967295"/>
          <tpl hier="64" item="0"/>
        </tpls>
      </n>
      <n v="140909586.76999998" in="0">
        <tpls c="4">
          <tpl fld="8" item="1"/>
          <tpl fld="9" item="0"/>
          <tpl fld="2" item="22"/>
          <tpl hier="64" item="0"/>
        </tpls>
      </n>
      <n v="94017" in="1">
        <tpls c="4">
          <tpl fld="8" item="1"/>
          <tpl fld="9" item="5"/>
          <tpl fld="2" item="20"/>
          <tpl hier="64" item="0"/>
        </tpls>
      </n>
      <n v="778926" in="1">
        <tpls c="4">
          <tpl fld="8" item="1"/>
          <tpl fld="9" item="5"/>
          <tpl fld="2" item="16"/>
          <tpl hier="64" item="0"/>
        </tpls>
      </n>
      <n v="216249.40999999997" in="0">
        <tpls c="4">
          <tpl fld="8" item="0"/>
          <tpl fld="9" item="0"/>
          <tpl fld="3" item="90"/>
          <tpl hier="64" item="0"/>
        </tpls>
      </n>
      <n v="0" in="0">
        <tpls c="5">
          <tpl fld="4" item="5"/>
          <tpl fld="8" item="1"/>
          <tpl fld="9" item="0"/>
          <tpl fld="10" item="1"/>
          <tpl hier="64" item="0"/>
        </tpls>
      </n>
      <n v="1345" in="1">
        <tpls c="5">
          <tpl fld="4" item="10"/>
          <tpl fld="8" item="1"/>
          <tpl fld="9" item="5"/>
          <tpl fld="1" item="1"/>
          <tpl hier="64" item="0"/>
        </tpls>
      </n>
      <n v="0" in="1">
        <tpls c="4">
          <tpl fld="8" item="1"/>
          <tpl fld="9" item="4"/>
          <tpl fld="3" item="1"/>
          <tpl hier="64" item="0"/>
        </tpls>
      </n>
      <n v="50" in="1">
        <tpls c="5">
          <tpl fld="4" item="6"/>
          <tpl fld="8" item="1"/>
          <tpl fld="9" item="5"/>
          <tpl hier="54" item="4294967295"/>
          <tpl hier="64" item="0"/>
        </tpls>
      </n>
      <n v="19399174.68" in="0">
        <tpls c="4">
          <tpl fld="8" item="1"/>
          <tpl fld="9" item="0"/>
          <tpl fld="3" item="44"/>
          <tpl hier="64" item="0"/>
        </tpls>
      </n>
      <n v="21237769.379999999" in="0">
        <tpls c="4">
          <tpl fld="8" item="1"/>
          <tpl fld="9" item="0"/>
          <tpl fld="2" item="24"/>
          <tpl hier="64" item="0"/>
        </tpls>
      </n>
      <n v="9237372.370000001" in="0">
        <tpls c="4">
          <tpl fld="8" item="0"/>
          <tpl fld="9" item="1"/>
          <tpl fld="3" item="44"/>
          <tpl hier="64" item="0"/>
        </tpls>
      </n>
      <n v="25267" in="1">
        <tpls c="4">
          <tpl fld="8" item="1"/>
          <tpl fld="9" item="5"/>
          <tpl fld="3" item="46"/>
          <tpl hier="64" item="0"/>
        </tpls>
      </n>
      <n v="0" in="0">
        <tpls c="4">
          <tpl fld="8" item="1"/>
          <tpl fld="9" item="0"/>
          <tpl fld="3" item="35"/>
          <tpl hier="64" item="0"/>
        </tpls>
      </n>
      <n v="0" in="1">
        <tpls c="4">
          <tpl fld="8" item="1"/>
          <tpl fld="9" item="4"/>
          <tpl fld="2" item="18"/>
          <tpl hier="64" item="0"/>
        </tpls>
      </n>
      <n v="0" in="1">
        <tpls c="5">
          <tpl fld="4" item="4"/>
          <tpl fld="8" item="1"/>
          <tpl fld="9" item="5"/>
          <tpl fld="1" item="0"/>
          <tpl hier="64" item="0"/>
        </tpls>
      </n>
      <n v="1620508173.1999998" in="0">
        <tpls c="5">
          <tpl hier="22" item="4294967295"/>
          <tpl fld="8" item="1"/>
          <tpl fld="9" item="0"/>
          <tpl hier="60" item="4294967295"/>
          <tpl hier="64" item="0"/>
        </tpls>
      </n>
      <n v="49385" in="1">
        <tpls c="5">
          <tpl fld="4" item="12"/>
          <tpl fld="8" item="1"/>
          <tpl fld="9" item="5"/>
          <tpl fld="1" item="0"/>
          <tpl hier="64" item="0"/>
        </tpls>
      </n>
      <n v="0" in="1">
        <tpls c="5">
          <tpl fld="4" item="3"/>
          <tpl fld="8" item="1"/>
          <tpl fld="9" item="5"/>
          <tpl fld="1" item="1"/>
          <tpl hier="64" item="0"/>
        </tpls>
      </n>
      <n v="1097" in="1">
        <tpls c="4">
          <tpl fld="8" item="1"/>
          <tpl fld="9" item="4"/>
          <tpl fld="2" item="2"/>
          <tpl hier="64" item="0"/>
        </tpls>
      </n>
      <n v="146227" in="1">
        <tpls c="4">
          <tpl fld="8" item="1"/>
          <tpl fld="9" item="4"/>
          <tpl hier="54" item="4294967295"/>
          <tpl hier="64" item="0"/>
        </tpls>
      </n>
      <n v="2757465.8999999994" in="0">
        <tpls c="4">
          <tpl fld="8" item="0"/>
          <tpl fld="9" item="0"/>
          <tpl fld="3" item="40"/>
          <tpl hier="64" item="0"/>
        </tpls>
      </n>
      <n v="2283" in="1">
        <tpls c="4">
          <tpl fld="8" item="1"/>
          <tpl fld="9" item="5"/>
          <tpl fld="3" item="90"/>
          <tpl hier="64" item="0"/>
        </tpls>
      </n>
      <n v="15013" in="1">
        <tpls c="5">
          <tpl fld="4" item="15"/>
          <tpl fld="8" item="1"/>
          <tpl fld="9" item="5"/>
          <tpl fld="1" item="0"/>
          <tpl hier="64" item="0"/>
        </tpls>
      </n>
      <n v="12906" in="1">
        <tpls c="4">
          <tpl fld="8" item="1"/>
          <tpl fld="9" item="4"/>
          <tpl fld="2" item="22"/>
          <tpl hier="64" item="0"/>
        </tpls>
      </n>
      <n v="128617.34" in="0">
        <tpls c="4">
          <tpl fld="8" item="0"/>
          <tpl fld="9" item="0"/>
          <tpl fld="3" item="8"/>
          <tpl hier="64" item="0"/>
        </tpls>
      </n>
      <n v="306843.89" in="0">
        <tpls c="4">
          <tpl fld="8" item="0"/>
          <tpl fld="9" item="0"/>
          <tpl fld="3" item="28"/>
          <tpl hier="64" item="0"/>
        </tpls>
      </n>
      <n v="28631" in="1">
        <tpls c="4">
          <tpl fld="8" item="0"/>
          <tpl fld="9" item="5"/>
          <tpl fld="3" item="46"/>
          <tpl hier="64" item="0"/>
        </tpls>
      </n>
      <n v="580" in="1">
        <tpls c="4">
          <tpl fld="8" item="0"/>
          <tpl fld="9" item="5"/>
          <tpl fld="3" item="9"/>
          <tpl hier="64" item="0"/>
        </tpls>
      </n>
      <n v="65008460.81000001" in="0">
        <tpls c="5">
          <tpl fld="4" item="13"/>
          <tpl fld="8" item="1"/>
          <tpl fld="9" item="0"/>
          <tpl fld="10" item="0"/>
          <tpl hier="64" item="0"/>
        </tpls>
      </n>
      <n v="13826" in="1">
        <tpls c="5">
          <tpl fld="4" item="21"/>
          <tpl fld="8" item="1"/>
          <tpl fld="9" item="5"/>
          <tpl hier="54" item="4294967295"/>
          <tpl hier="64" item="0"/>
        </tpls>
      </n>
      <n v="397114.70999999996" in="0">
        <tpls c="4">
          <tpl fld="8" item="1"/>
          <tpl fld="9" item="1"/>
          <tpl fld="3" item="52"/>
          <tpl hier="64" item="0"/>
        </tpls>
      </n>
      <n v="7212386.6400000006" in="0">
        <tpls c="4">
          <tpl fld="8" item="0"/>
          <tpl fld="9" item="0"/>
          <tpl fld="3" item="10"/>
          <tpl hier="64" item="0"/>
        </tpls>
      </n>
      <n v="41554" in="1">
        <tpls c="4">
          <tpl fld="8" item="1"/>
          <tpl fld="9" item="5"/>
          <tpl fld="2" item="7"/>
          <tpl hier="64" item="0"/>
        </tpls>
      </n>
      <n v="11316073.659999998" in="0">
        <tpls c="4">
          <tpl fld="8" item="1"/>
          <tpl fld="9" item="0"/>
          <tpl fld="2" item="13"/>
          <tpl hier="64" item="0"/>
        </tpls>
      </n>
      <n v="1610015.54" in="0">
        <tpls c="4">
          <tpl fld="8" item="1"/>
          <tpl fld="9" item="0"/>
          <tpl fld="3" item="0"/>
          <tpl hier="64" item="0"/>
        </tpls>
      </n>
      <n v="1441035" in="1">
        <tpls c="5">
          <tpl hier="22" item="4294967295"/>
          <tpl fld="8" item="1"/>
          <tpl fld="9" item="5"/>
          <tpl fld="1" item="0"/>
          <tpl hier="64" item="0"/>
        </tpls>
      </n>
      <n v="0" in="0">
        <tpls c="4">
          <tpl fld="8" item="0"/>
          <tpl fld="9" item="0"/>
          <tpl fld="3" item="2"/>
          <tpl hier="64" item="0"/>
        </tpls>
      </n>
      <n v="4000308.4299999997" in="0">
        <tpls c="4">
          <tpl fld="8" item="0"/>
          <tpl fld="9" item="0"/>
          <tpl fld="3" item="76"/>
          <tpl hier="64" item="0"/>
        </tpls>
      </n>
      <n v="0" in="1">
        <tpls c="5">
          <tpl fld="4" item="23"/>
          <tpl fld="8" item="1"/>
          <tpl fld="9" item="5"/>
          <tpl fld="1" item="0"/>
          <tpl hier="64" item="0"/>
        </tpls>
      </n>
      <n v="10220" in="1">
        <tpls c="4">
          <tpl fld="8" item="1"/>
          <tpl fld="9" item="5"/>
          <tpl fld="3" item="0"/>
          <tpl hier="64" item="0"/>
        </tpls>
      </n>
      <n v="89162231.050000012" in="0">
        <tpls c="5">
          <tpl fld="4" item="23"/>
          <tpl fld="8" item="1"/>
          <tpl fld="9" item="0"/>
          <tpl hier="60" item="4294967295"/>
          <tpl hier="64" item="0"/>
        </tpls>
      </n>
      <n v="3" in="1">
        <tpls c="4">
          <tpl fld="8" item="1"/>
          <tpl fld="9" item="4"/>
          <tpl fld="3" item="16"/>
          <tpl hier="64" item="0"/>
        </tpls>
      </n>
      <n v="266660359.82999998" in="0">
        <tpls c="5">
          <tpl fld="4" item="2"/>
          <tpl fld="8" item="1"/>
          <tpl fld="9" item="0"/>
          <tpl hier="60" item="4294967295"/>
          <tpl hier="64" item="0"/>
        </tpls>
      </n>
      <n v="54633802.020000003" in="0">
        <tpls c="4">
          <tpl fld="8" item="1"/>
          <tpl fld="9" item="0"/>
          <tpl fld="2" item="15"/>
          <tpl hier="64" item="0"/>
        </tpls>
      </n>
      <n v="431856219.63" in="0">
        <tpls c="5">
          <tpl hier="22" item="4294967295"/>
          <tpl fld="8" item="1"/>
          <tpl fld="9" item="0"/>
          <tpl fld="10" item="0"/>
          <tpl hier="64" item="0"/>
        </tpls>
      </n>
      <n v="5853177.3200000003" in="0">
        <tpls c="5">
          <tpl fld="4" item="4"/>
          <tpl fld="8" item="1"/>
          <tpl fld="9" item="0"/>
          <tpl fld="10" item="1"/>
          <tpl hier="64" item="0"/>
        </tpls>
      </n>
      <n v="1271507.6000000001" in="0">
        <tpls c="4">
          <tpl fld="8" item="1"/>
          <tpl fld="9" item="0"/>
          <tpl fld="2" item="12"/>
          <tpl hier="64" item="0"/>
        </tpls>
      </n>
      <n v="85" in="1">
        <tpls c="4">
          <tpl fld="8" item="1"/>
          <tpl fld="9" item="4"/>
          <tpl fld="3" item="3"/>
          <tpl hier="64" item="0"/>
        </tpls>
      </n>
      <n v="5561523.4399999995" in="0">
        <tpls c="4">
          <tpl fld="8" item="0"/>
          <tpl fld="9" item="1"/>
          <tpl fld="3" item="3"/>
          <tpl hier="64" item="0"/>
        </tpls>
      </n>
      <n v="2385447.7199999997" in="0">
        <tpls c="5">
          <tpl fld="4" item="3"/>
          <tpl fld="8" item="1"/>
          <tpl fld="9" item="0"/>
          <tpl fld="10" item="0"/>
          <tpl hier="64" item="0"/>
        </tpls>
      </n>
      <n v="22" in="1">
        <tpls c="4">
          <tpl fld="8" item="1"/>
          <tpl fld="9" item="4"/>
          <tpl fld="3" item="96"/>
          <tpl hier="64" item="0"/>
        </tpls>
      </n>
      <n v="0" in="1">
        <tpls c="4">
          <tpl fld="8" item="0"/>
          <tpl fld="9" item="5"/>
          <tpl fld="3" item="88"/>
          <tpl hier="64" item="0"/>
        </tpls>
      </n>
      <n v="0" in="0">
        <tpls c="4">
          <tpl fld="8" item="1"/>
          <tpl fld="9" item="1"/>
          <tpl fld="3" item="37"/>
          <tpl hier="64" item="0"/>
        </tpls>
      </n>
      <n v="1012" in="1">
        <tpls c="4">
          <tpl fld="8" item="0"/>
          <tpl fld="9" item="4"/>
          <tpl fld="3" item="87"/>
          <tpl hier="64" item="0"/>
        </tpls>
      </n>
      <n v="83" in="1">
        <tpls c="4">
          <tpl fld="8" item="1"/>
          <tpl fld="9" item="5"/>
          <tpl fld="3" item="27"/>
          <tpl hier="64" item="0"/>
        </tpls>
      </n>
      <n v="11507305" in="0">
        <tpls c="5">
          <tpl fld="4" item="1"/>
          <tpl fld="8" item="1"/>
          <tpl fld="9" item="0"/>
          <tpl hier="60" item="4294967295"/>
          <tpl hier="64" item="0"/>
        </tpls>
      </n>
      <n v="0" in="0">
        <tpls c="4">
          <tpl fld="8" item="0"/>
          <tpl fld="9" item="0"/>
          <tpl fld="3" item="1"/>
          <tpl hier="64" item="0"/>
        </tpls>
      </n>
      <n v="1232132.93" in="0">
        <tpls c="4">
          <tpl fld="8" item="1"/>
          <tpl fld="9" item="0"/>
          <tpl fld="3" item="36"/>
          <tpl hier="64" item="0"/>
        </tpls>
      </n>
      <n v="818693.84" in="0">
        <tpls c="4">
          <tpl fld="8" item="1"/>
          <tpl fld="9" item="0"/>
          <tpl fld="3" item="99"/>
          <tpl hier="64" item="0"/>
        </tpls>
      </n>
      <n v="5649" in="1">
        <tpls c="5">
          <tpl fld="4" item="20"/>
          <tpl fld="8" item="1"/>
          <tpl fld="9" item="5"/>
          <tpl fld="1" item="1"/>
          <tpl hier="64" item="0"/>
        </tpls>
      </n>
      <n v="6303778.8099999996" in="0">
        <tpls c="5">
          <tpl fld="4" item="5"/>
          <tpl fld="8" item="1"/>
          <tpl fld="9" item="0"/>
          <tpl hier="60" item="4294967295"/>
          <tpl hier="64" item="0"/>
        </tpls>
      </n>
      <n v="0" in="0">
        <tpls c="4">
          <tpl fld="8" item="0"/>
          <tpl fld="9" item="1"/>
          <tpl fld="3" item="12"/>
          <tpl hier="64" item="0"/>
        </tpls>
      </n>
      <n v="8257" in="1">
        <tpls c="5">
          <tpl fld="4" item="3"/>
          <tpl fld="8" item="1"/>
          <tpl fld="9" item="5"/>
          <tpl fld="1" item="0"/>
          <tpl hier="64" item="0"/>
        </tpls>
      </n>
      <m>
        <tpls c="5">
          <tpl fld="4" item="15"/>
          <tpl fld="8" item="1"/>
          <tpl fld="9" item="0"/>
          <tpl fld="10" item="1"/>
          <tpl hier="64" item="0"/>
        </tpls>
      </m>
      <n v="475452.31" in="0">
        <tpls c="4">
          <tpl fld="8" item="0"/>
          <tpl fld="9" item="0"/>
          <tpl fld="3" item="52"/>
          <tpl hier="64" item="0"/>
        </tpls>
      </n>
      <n v="21473482.549999997" in="0">
        <tpls c="4">
          <tpl fld="8" item="1"/>
          <tpl fld="9" item="0"/>
          <tpl fld="3" item="92"/>
          <tpl hier="64" item="0"/>
        </tpls>
      </n>
      <n v="28419.79" in="0">
        <tpls c="4">
          <tpl fld="8" item="0"/>
          <tpl fld="9" item="1"/>
          <tpl fld="3" item="18"/>
          <tpl hier="64" item="0"/>
        </tpls>
      </n>
      <n v="1072006.6000000001" in="0">
        <tpls c="4">
          <tpl fld="8" item="0"/>
          <tpl fld="9" item="0"/>
          <tpl fld="3" item="36"/>
          <tpl hier="64" item="0"/>
        </tpls>
      </n>
      <n v="0" in="0">
        <tpls c="4">
          <tpl fld="8" item="0"/>
          <tpl fld="9" item="1"/>
          <tpl fld="3" item="103"/>
          <tpl hier="64" item="0"/>
        </tpls>
      </n>
      <n v="0" in="1">
        <tpls c="4">
          <tpl fld="8" item="0"/>
          <tpl fld="9" item="4"/>
          <tpl fld="3" item="23"/>
          <tpl hier="64" item="0"/>
        </tpls>
      </n>
      <n v="88718.720000000001" in="0">
        <tpls c="4">
          <tpl fld="8" item="1"/>
          <tpl fld="9" item="0"/>
          <tpl fld="3" item="97"/>
          <tpl hier="64" item="0"/>
        </tpls>
      </n>
      <n v="35732.11" in="0">
        <tpls c="4">
          <tpl fld="8" item="1"/>
          <tpl fld="9" item="1"/>
          <tpl fld="3" item="36"/>
          <tpl hier="64" item="0"/>
        </tpls>
      </n>
      <n v="0" in="1">
        <tpls c="4">
          <tpl fld="8" item="0"/>
          <tpl fld="9" item="4"/>
          <tpl fld="3" item="51"/>
          <tpl hier="64" item="0"/>
        </tpls>
      </n>
      <n v="60" in="1">
        <tpls c="4">
          <tpl fld="8" item="1"/>
          <tpl fld="9" item="5"/>
          <tpl fld="3" item="24"/>
          <tpl hier="64" item="0"/>
        </tpls>
      </n>
      <n v="88394429.839999899" in="0">
        <tpls c="2">
          <tpl fld="9" item="0"/>
          <tpl fld="2" item="18"/>
        </tpls>
      </n>
      <n v="31195501.969999999" in="0">
        <tpls c="4">
          <tpl fld="8" item="0"/>
          <tpl fld="9" item="0"/>
          <tpl fld="3" item="42"/>
          <tpl hier="64" item="0"/>
        </tpls>
      </n>
      <n v="0" in="1">
        <tpls c="4">
          <tpl fld="8" item="1"/>
          <tpl fld="9" item="5"/>
          <tpl fld="3" item="1"/>
          <tpl hier="64" item="0"/>
        </tpls>
      </n>
      <n v="2473737.33" in="0">
        <tpls c="4">
          <tpl fld="8" item="1"/>
          <tpl fld="9" item="1"/>
          <tpl fld="3" item="3"/>
          <tpl hier="64" item="0"/>
        </tpls>
      </n>
      <m>
        <tpls c="5">
          <tpl fld="4" item="16"/>
          <tpl fld="8" item="1"/>
          <tpl fld="9" item="5"/>
          <tpl fld="1" item="0"/>
          <tpl hier="64" item="0"/>
        </tpls>
      </m>
      <n v="0" in="0">
        <tpls c="5">
          <tpl fld="4" item="23"/>
          <tpl fld="8" item="1"/>
          <tpl fld="9" item="0"/>
          <tpl fld="10" item="0"/>
          <tpl hier="64" item="0"/>
        </tpls>
      </n>
      <n v="105128.86" in="0">
        <tpls c="4">
          <tpl fld="8" item="0"/>
          <tpl fld="9" item="0"/>
          <tpl fld="3" item="16"/>
          <tpl hier="64" item="0"/>
        </tpls>
      </n>
      <n v="11507305" in="0">
        <tpls c="5">
          <tpl fld="4" item="1"/>
          <tpl fld="8" item="1"/>
          <tpl fld="9" item="0"/>
          <tpl fld="10" item="1"/>
          <tpl hier="64" item="0"/>
        </tpls>
      </n>
      <m>
        <tpls c="5">
          <tpl fld="4" item="8"/>
          <tpl fld="8" item="1"/>
          <tpl fld="9" item="5"/>
          <tpl fld="1" item="1"/>
          <tpl hier="64" item="0"/>
        </tpls>
      </m>
      <n v="0" in="1">
        <tpls c="4">
          <tpl fld="8" item="1"/>
          <tpl fld="9" item="5"/>
          <tpl fld="3" item="2"/>
          <tpl hier="64" item="0"/>
        </tpls>
      </n>
      <n v="2159" in="1">
        <tpls c="4">
          <tpl fld="8" item="1"/>
          <tpl fld="9" item="5"/>
          <tpl fld="2" item="21"/>
          <tpl hier="64" item="0"/>
        </tpls>
      </n>
      <n v="112805" in="1">
        <tpls c="5">
          <tpl fld="4" item="11"/>
          <tpl fld="8" item="1"/>
          <tpl fld="9" item="5"/>
          <tpl fld="1" item="0"/>
          <tpl hier="64" item="0"/>
        </tpls>
      </n>
      <n v="0" in="0">
        <tpls c="4">
          <tpl fld="8" item="0"/>
          <tpl fld="9" item="1"/>
          <tpl fld="3" item="7"/>
          <tpl hier="64" item="0"/>
        </tpls>
      </n>
      <n v="40346626.620000005" in="0">
        <tpls c="5">
          <tpl fld="4" item="11"/>
          <tpl fld="8" item="1"/>
          <tpl fld="9" item="0"/>
          <tpl fld="10" item="0"/>
          <tpl hier="64" item="0"/>
        </tpls>
      </n>
      <n v="3806" in="1">
        <tpls c="4">
          <tpl fld="8" item="1"/>
          <tpl fld="9" item="5"/>
          <tpl fld="3" item="5"/>
          <tpl hier="64" item="0"/>
        </tpls>
      </n>
      <n v="577" in="1">
        <tpls c="4">
          <tpl fld="8" item="0"/>
          <tpl fld="9" item="4"/>
          <tpl fld="3" item="44"/>
          <tpl hier="64" item="0"/>
        </tpls>
      </n>
      <n v="0" in="0">
        <tpls c="4">
          <tpl fld="8" item="1"/>
          <tpl fld="9" item="1"/>
          <tpl fld="3" item="103"/>
          <tpl hier="64" item="0"/>
        </tpls>
      </n>
      <n v="17" in="1">
        <tpls c="4">
          <tpl fld="8" item="0"/>
          <tpl fld="9" item="4"/>
          <tpl fld="3" item="17"/>
          <tpl hier="64" item="0"/>
        </tpls>
      </n>
      <n v="0" in="1">
        <tpls c="4">
          <tpl fld="8" item="1"/>
          <tpl fld="9" item="5"/>
          <tpl fld="3" item="7"/>
          <tpl hier="64" item="0"/>
        </tpls>
      </n>
      <n v="109843" in="1">
        <tpls c="5">
          <tpl fld="4" item="23"/>
          <tpl fld="8" item="1"/>
          <tpl fld="9" item="5"/>
          <tpl hier="54" item="4294967295"/>
          <tpl hier="64" item="0"/>
        </tpls>
      </n>
      <n v="4924355.71" in="0">
        <tpls c="4">
          <tpl fld="8" item="1"/>
          <tpl fld="9" item="0"/>
          <tpl fld="3" item="20"/>
          <tpl hier="64" item="0"/>
        </tpls>
      </n>
      <n v="1146803.24" in="0">
        <tpls c="4">
          <tpl fld="8" item="1"/>
          <tpl fld="9" item="1"/>
          <tpl fld="3" item="5"/>
          <tpl hier="64" item="0"/>
        </tpls>
      </n>
      <n v="1142443.28" in="0">
        <tpls c="4">
          <tpl fld="8" item="0"/>
          <tpl fld="9" item="1"/>
          <tpl fld="3" item="5"/>
          <tpl hier="64" item="0"/>
        </tpls>
      </n>
      <n v="41434.86" in="0">
        <tpls c="4">
          <tpl fld="8" item="1"/>
          <tpl fld="9" item="1"/>
          <tpl fld="3" item="31"/>
          <tpl hier="64" item="0"/>
        </tpls>
      </n>
      <n v="431856219.63000005" in="0">
        <tpls c="4">
          <tpl fld="8" item="1"/>
          <tpl fld="9" item="0"/>
          <tpl fld="1" item="0"/>
          <tpl hier="64" item="0"/>
        </tpls>
      </n>
      <n v="65195389.57" in="0">
        <tpls c="4">
          <tpl fld="8" item="1"/>
          <tpl fld="9" item="0"/>
          <tpl fld="2" item="11"/>
          <tpl hier="64" item="0"/>
        </tpls>
      </n>
      <n v="109843" in="1">
        <tpls c="5">
          <tpl fld="4" item="23"/>
          <tpl fld="8" item="1"/>
          <tpl fld="9" item="5"/>
          <tpl fld="1" item="1"/>
          <tpl hier="64" item="0"/>
        </tpls>
      </n>
      <n v="2314723.59" in="0">
        <tpls c="4">
          <tpl fld="8" item="0"/>
          <tpl fld="9" item="0"/>
          <tpl fld="3" item="0"/>
          <tpl hier="64" item="0"/>
        </tpls>
      </n>
      <n v="506" in="1">
        <tpls c="4">
          <tpl fld="8" item="0"/>
          <tpl fld="9" item="5"/>
          <tpl fld="3" item="36"/>
          <tpl hier="64" item="0"/>
        </tpls>
      </n>
      <n v="333687" in="1">
        <tpls c="5">
          <tpl fld="4" item="2"/>
          <tpl fld="8" item="1"/>
          <tpl fld="9" item="5"/>
          <tpl fld="1" item="0"/>
          <tpl hier="64" item="0"/>
        </tpls>
      </n>
      <n v="11249907.920000002" in="0">
        <tpls c="5">
          <tpl fld="4" item="22"/>
          <tpl fld="8" item="1"/>
          <tpl fld="9" item="0"/>
          <tpl fld="10" item="1"/>
          <tpl hier="64" item="0"/>
        </tpls>
      </n>
      <n v="24242.899999999998" in="0">
        <tpls c="4">
          <tpl fld="8" item="0"/>
          <tpl fld="9" item="1"/>
          <tpl fld="3" item="61"/>
          <tpl hier="64" item="0"/>
        </tpls>
      </n>
      <n v="36525.939999999988" in="0">
        <tpls c="4">
          <tpl fld="8" item="1"/>
          <tpl fld="9" item="0"/>
          <tpl fld="3" item="17"/>
          <tpl hier="64" item="0"/>
        </tpls>
      </n>
      <n v="1356909.14" in="0">
        <tpls c="5">
          <tpl fld="4" item="6"/>
          <tpl fld="8" item="1"/>
          <tpl fld="9" item="0"/>
          <tpl fld="10" item="1"/>
          <tpl hier="64" item="0"/>
        </tpls>
      </n>
      <n v="0" in="0">
        <tpls c="4">
          <tpl fld="8" item="1"/>
          <tpl fld="9" item="1"/>
          <tpl fld="3" item="69"/>
          <tpl hier="64" item="0"/>
        </tpls>
      </n>
      <n v="657383.47" in="0">
        <tpls c="4">
          <tpl fld="8" item="1"/>
          <tpl fld="9" item="1"/>
          <tpl fld="3" item="64"/>
          <tpl hier="64" item="0"/>
        </tpls>
      </n>
      <n v="82436" in="1">
        <tpls c="5">
          <tpl fld="4" item="7"/>
          <tpl fld="8" item="1"/>
          <tpl fld="9" item="5"/>
          <tpl fld="1" item="0"/>
          <tpl hier="64" item="0"/>
        </tpls>
      </n>
      <n v="81942" in="1">
        <tpls c="5">
          <tpl fld="4" item="12"/>
          <tpl fld="8" item="1"/>
          <tpl fld="9" item="5"/>
          <tpl hier="54" item="4294967295"/>
          <tpl hier="64" item="0"/>
        </tpls>
      </n>
      <n v="167" in="1">
        <tpls c="4">
          <tpl fld="8" item="1"/>
          <tpl fld="9" item="4"/>
          <tpl fld="3" item="40"/>
          <tpl hier="64" item="0"/>
        </tpls>
      </n>
      <n v="26662289.810000002" in="0">
        <tpls c="4">
          <tpl fld="8" item="0"/>
          <tpl fld="9" item="0"/>
          <tpl fld="3" item="33"/>
          <tpl hier="64" item="0"/>
        </tpls>
      </n>
      <n v="136193.44999999998" in="0">
        <tpls c="4">
          <tpl fld="8" item="0"/>
          <tpl fld="9" item="0"/>
          <tpl fld="3" item="12"/>
          <tpl hier="64" item="0"/>
        </tpls>
      </n>
      <n v="383246.63" in="0">
        <tpls c="4">
          <tpl fld="8" item="0"/>
          <tpl fld="9" item="1"/>
          <tpl fld="3" item="52"/>
          <tpl hier="64" item="0"/>
        </tpls>
      </n>
      <n v="82436" in="1">
        <tpls c="5">
          <tpl fld="4" item="7"/>
          <tpl fld="8" item="1"/>
          <tpl fld="9" item="5"/>
          <tpl hier="54" item="4294967295"/>
          <tpl hier="64" item="0"/>
        </tpls>
      </n>
      <n v="31" in="1">
        <tpls c="4">
          <tpl fld="8" item="1"/>
          <tpl fld="9" item="4"/>
          <tpl fld="3" item="78"/>
          <tpl hier="64" item="0"/>
        </tpls>
      </n>
      <n v="113141266.75999999" in="0">
        <tpls c="5">
          <tpl fld="4" item="2"/>
          <tpl fld="8" item="1"/>
          <tpl fld="9" item="0"/>
          <tpl fld="10" item="0"/>
          <tpl hier="64" item="0"/>
        </tpls>
      </n>
      <n v="24071405.160000004" in="0">
        <tpls c="5">
          <tpl fld="4" item="25"/>
          <tpl fld="8" item="1"/>
          <tpl fld="9" item="0"/>
          <tpl fld="10" item="1"/>
          <tpl hier="64" item="0"/>
        </tpls>
      </n>
      <n v="1359780.83" in="0">
        <tpls c="4">
          <tpl fld="8" item="1"/>
          <tpl fld="9" item="0"/>
          <tpl fld="3" item="64"/>
          <tpl hier="64" item="0"/>
        </tpls>
      </n>
      <n v="6296519.1000000006" in="0">
        <tpls c="4">
          <tpl fld="8" item="1"/>
          <tpl fld="9" item="0"/>
          <tpl fld="3" item="9"/>
          <tpl hier="64" item="0"/>
        </tpls>
      </n>
      <n v="8925" in="1">
        <tpls c="4">
          <tpl fld="8" item="0"/>
          <tpl fld="9" item="5"/>
          <tpl fld="3" item="0"/>
          <tpl hier="64" item="0"/>
        </tpls>
      </n>
      <n v="3536" in="1">
        <tpls c="4">
          <tpl fld="8" item="0"/>
          <tpl fld="9" item="5"/>
          <tpl fld="3" item="5"/>
          <tpl hier="64" item="0"/>
        </tpls>
      </n>
      <n v="17" in="1">
        <tpls c="4">
          <tpl fld="8" item="1"/>
          <tpl fld="9" item="5"/>
          <tpl fld="2" item="17"/>
          <tpl hier="64" item="0"/>
        </tpls>
      </n>
      <n v="464" in="1">
        <tpls c="4">
          <tpl fld="8" item="1"/>
          <tpl fld="9" item="4"/>
          <tpl fld="3" item="0"/>
          <tpl hier="64" item="0"/>
        </tpls>
      </n>
      <n v="8421" in="1">
        <tpls c="5">
          <tpl fld="4" item="17"/>
          <tpl fld="8" item="1"/>
          <tpl fld="9" item="5"/>
          <tpl hier="54" item="4294967295"/>
          <tpl hier="64" item="0"/>
        </tpls>
      </n>
      <n v="60160" in="1">
        <tpls c="5">
          <tpl fld="4" item="14"/>
          <tpl fld="8" item="1"/>
          <tpl fld="9" item="5"/>
          <tpl fld="1" item="1"/>
          <tpl hier="64" item="0"/>
        </tpls>
      </n>
      <n v="62739487.600000009" in="0">
        <tpls c="5">
          <tpl fld="4" item="12"/>
          <tpl fld="8" item="1"/>
          <tpl fld="9" item="0"/>
          <tpl hier="60" item="4294967295"/>
          <tpl hier="64" item="0"/>
        </tpls>
      </n>
      <n v="28557" in="1">
        <tpls c="5">
          <tpl fld="4" item="16"/>
          <tpl fld="8" item="1"/>
          <tpl fld="9" item="5"/>
          <tpl hier="54" item="4294967295"/>
          <tpl hier="64" item="0"/>
        </tpls>
      </n>
      <n v="0" in="1">
        <tpls c="4">
          <tpl fld="8" item="1"/>
          <tpl fld="9" item="4"/>
          <tpl fld="3" item="7"/>
          <tpl hier="64" item="0"/>
        </tpls>
      </n>
      <n v="46080250.479999989" in="0">
        <tpls c="5">
          <tpl fld="4" item="14"/>
          <tpl fld="8" item="1"/>
          <tpl fld="9" item="0"/>
          <tpl fld="10" item="1"/>
          <tpl hier="64" item="0"/>
        </tpls>
      </n>
      <n v="353517.74" in="0">
        <tpls c="4">
          <tpl fld="8" item="1"/>
          <tpl fld="9" item="0"/>
          <tpl fld="2" item="8"/>
          <tpl hier="64" item="0"/>
        </tpls>
      </n>
      <n v="2455" in="1">
        <tpls c="4">
          <tpl fld="8" item="0"/>
          <tpl fld="9" item="5"/>
          <tpl fld="3" item="17"/>
          <tpl hier="64" item="0"/>
        </tpls>
      </n>
      <n v="7991" in="1">
        <tpls c="5">
          <tpl fld="4" item="19"/>
          <tpl fld="8" item="1"/>
          <tpl fld="9" item="5"/>
          <tpl fld="1" item="1"/>
          <tpl hier="64" item="0"/>
        </tpls>
      </n>
      <n v="9523" in="1">
        <tpls c="4">
          <tpl fld="8" item="1"/>
          <tpl fld="9" item="4"/>
          <tpl fld="1" item="0"/>
          <tpl hier="64" item="0"/>
        </tpls>
      </n>
      <n v="5853177.3200000003" in="0">
        <tpls c="5">
          <tpl fld="4" item="4"/>
          <tpl fld="8" item="1"/>
          <tpl fld="9" item="0"/>
          <tpl hier="60" item="4294967295"/>
          <tpl hier="64" item="0"/>
        </tpls>
      </n>
      <n v="0" in="1">
        <tpls c="4">
          <tpl fld="8" item="0"/>
          <tpl fld="9" item="4"/>
          <tpl fld="3" item="1"/>
          <tpl hier="64" item="0"/>
        </tpls>
      </n>
      <n v="2861" in="1">
        <tpls c="4">
          <tpl fld="8" item="1"/>
          <tpl fld="9" item="4"/>
          <tpl fld="3" item="42"/>
          <tpl hier="64" item="0"/>
        </tpls>
      </n>
      <n v="12084" in="1">
        <tpls c="5">
          <tpl fld="4" item="22"/>
          <tpl fld="8" item="1"/>
          <tpl fld="9" item="5"/>
          <tpl hier="54" item="4294967295"/>
          <tpl hier="64" item="0"/>
        </tpls>
      </n>
      <n v="11838439.100000001" in="0">
        <tpls c="4">
          <tpl fld="8" item="1"/>
          <tpl fld="9" item="0"/>
          <tpl fld="3" item="32"/>
          <tpl hier="64" item="0"/>
        </tpls>
      </n>
      <n v="125382" in="1">
        <tpls c="5">
          <tpl fld="4" item="2"/>
          <tpl fld="8" item="1"/>
          <tpl fld="9" item="5"/>
          <tpl fld="1" item="1"/>
          <tpl hier="64" item="0"/>
        </tpls>
      </n>
      <n v="76647" in="1">
        <tpls c="5">
          <tpl fld="4" item="14"/>
          <tpl fld="8" item="1"/>
          <tpl fld="9" item="5"/>
          <tpl fld="1" item="0"/>
          <tpl hier="64" item="0"/>
        </tpls>
      </n>
      <n v="0" in="0">
        <tpls c="4">
          <tpl fld="8" item="1"/>
          <tpl fld="9" item="1"/>
          <tpl fld="3" item="23"/>
          <tpl hier="64" item="0"/>
        </tpls>
      </n>
      <n v="167418.07999999961" in="0">
        <tpls c="4">
          <tpl fld="8" item="1"/>
          <tpl fld="9" item="1"/>
          <tpl fld="3" item="44"/>
          <tpl hier="64" item="0"/>
        </tpls>
      </n>
      <n v="1173635.06" in="0">
        <tpls c="4">
          <tpl fld="8" item="1"/>
          <tpl fld="9" item="0"/>
          <tpl fld="3" item="63"/>
          <tpl hier="64" item="0"/>
        </tpls>
      </n>
      <n v="277166" in="1">
        <tpls c="4">
          <tpl fld="8" item="1"/>
          <tpl fld="9" item="5"/>
          <tpl fld="3" item="58"/>
          <tpl hier="64" item="0"/>
        </tpls>
      </n>
      <n v="56" in="1">
        <tpls c="4">
          <tpl fld="8" item="0"/>
          <tpl fld="9" item="4"/>
          <tpl fld="3" item="31"/>
          <tpl hier="64" item="0"/>
        </tpls>
      </n>
      <n v="0" in="1">
        <tpls c="4">
          <tpl fld="8" item="1"/>
          <tpl fld="9" item="4"/>
          <tpl fld="3" item="103"/>
          <tpl hier="64" item="0"/>
        </tpls>
      </n>
      <n v="1141" in="1">
        <tpls c="4">
          <tpl fld="8" item="1"/>
          <tpl fld="9" item="5"/>
          <tpl fld="3" item="64"/>
          <tpl hier="64" item="0"/>
        </tpls>
      </n>
      <n v="103461" in="1">
        <tpls c="4">
          <tpl fld="8" item="1"/>
          <tpl fld="9" item="5"/>
          <tpl fld="3" item="53"/>
          <tpl hier="64" item="0"/>
        </tpls>
      </n>
      <n v="246000.72" in="0">
        <tpls c="4">
          <tpl fld="8" item="1"/>
          <tpl fld="9" item="0"/>
          <tpl fld="3" item="16"/>
          <tpl hier="64" item="0"/>
        </tpls>
      </n>
      <n v="0" in="1">
        <tpls c="4">
          <tpl fld="8" item="0"/>
          <tpl fld="9" item="4"/>
          <tpl fld="3" item="37"/>
          <tpl hier="64" item="0"/>
        </tpls>
      </n>
      <n v="909" in="1">
        <tpls c="4">
          <tpl fld="8" item="0"/>
          <tpl fld="9" item="5"/>
          <tpl fld="3" item="99"/>
          <tpl hier="64" item="0"/>
        </tpls>
      </n>
      <n v="38" in="1">
        <tpls c="4">
          <tpl fld="8" item="1"/>
          <tpl fld="9" item="4"/>
          <tpl fld="3" item="64"/>
          <tpl hier="64" item="0"/>
        </tpls>
      </n>
      <n v="94" in="1">
        <tpls c="4">
          <tpl fld="8" item="0"/>
          <tpl fld="9" item="5"/>
          <tpl fld="3" item="61"/>
          <tpl hier="64" item="0"/>
        </tpls>
      </n>
      <n v="389955.87" in="0">
        <tpls c="4">
          <tpl fld="8" item="0"/>
          <tpl fld="9" item="1"/>
          <tpl fld="3" item="39"/>
          <tpl hier="64" item="0"/>
        </tpls>
      </n>
      <n v="253655" in="1">
        <tpls c="4">
          <tpl fld="8" item="0"/>
          <tpl fld="9" item="4"/>
          <tpl fld="3" item="54"/>
          <tpl hier="64" item="0"/>
        </tpls>
      </n>
      <n v="1403" in="1">
        <tpls c="4">
          <tpl fld="8" item="0"/>
          <tpl fld="9" item="4"/>
          <tpl fld="3" item="82"/>
          <tpl hier="64" item="0"/>
        </tpls>
      </n>
      <n v="2" in="1">
        <tpls c="4">
          <tpl fld="8" item="0"/>
          <tpl fld="9" item="5"/>
          <tpl fld="3" item="13"/>
          <tpl hier="64" item="0"/>
        </tpls>
      </n>
      <n v="0" in="0">
        <tpls c="4">
          <tpl fld="8" item="0"/>
          <tpl fld="9" item="0"/>
          <tpl fld="3" item="88"/>
          <tpl hier="64" item="0"/>
        </tpls>
      </n>
      <n v="532" in="1">
        <tpls c="4">
          <tpl fld="8" item="1"/>
          <tpl fld="9" item="4"/>
          <tpl fld="3" item="92"/>
          <tpl hier="64" item="0"/>
        </tpls>
      </n>
      <n v="46977" in="1">
        <tpls c="4">
          <tpl fld="8" item="0"/>
          <tpl fld="9" item="5"/>
          <tpl fld="3" item="73"/>
          <tpl hier="64" item="0"/>
        </tpls>
      </n>
      <n v="8" in="1">
        <tpls c="4">
          <tpl fld="8" item="0"/>
          <tpl fld="9" item="4"/>
          <tpl fld="3" item="11"/>
          <tpl hier="64" item="0"/>
        </tpls>
      </n>
      <n v="217.76" in="0">
        <tpls c="4">
          <tpl fld="8" item="1"/>
          <tpl fld="9" item="1"/>
          <tpl fld="3" item="91"/>
          <tpl hier="64" item="0"/>
        </tpls>
      </n>
      <n v="25" in="1">
        <tpls c="4">
          <tpl fld="8" item="1"/>
          <tpl fld="9" item="5"/>
          <tpl fld="3" item="77"/>
          <tpl hier="64" item="0"/>
        </tpls>
      </n>
      <n v="8622" in="1">
        <tpls c="4">
          <tpl fld="8" item="0"/>
          <tpl fld="9" item="5"/>
          <tpl fld="3" item="80"/>
          <tpl hier="64" item="0"/>
        </tpls>
      </n>
      <m>
        <tpls c="5">
          <tpl fld="4" item="21"/>
          <tpl fld="8" item="1"/>
          <tpl fld="9" item="0"/>
          <tpl fld="10" item="1"/>
          <tpl hier="64" item="0"/>
        </tpls>
      </m>
      <n v="5234" in="1">
        <tpls c="4">
          <tpl fld="8" item="1"/>
          <tpl fld="9" item="4"/>
          <tpl fld="2" item="20"/>
          <tpl hier="64" item="0"/>
        </tpls>
      </n>
      <m>
        <tpls c="5">
          <tpl fld="4" item="6"/>
          <tpl fld="8" item="1"/>
          <tpl fld="9" item="5"/>
          <tpl fld="1" item="0"/>
          <tpl hier="64" item="0"/>
        </tpls>
      </m>
      <n v="0" in="1">
        <tpls c="4">
          <tpl fld="8" item="1"/>
          <tpl fld="9" item="4"/>
          <tpl fld="3" item="23"/>
          <tpl hier="64" item="0"/>
        </tpls>
      </n>
      <n v="12806896.640000001" in="0">
        <tpls c="4">
          <tpl fld="8" item="1"/>
          <tpl fld="9" item="0"/>
          <tpl fld="3" item="55"/>
          <tpl hier="64" item="0"/>
        </tpls>
      </n>
      <n v="0" in="1">
        <tpls c="4">
          <tpl fld="8" item="1"/>
          <tpl fld="9" item="5"/>
          <tpl fld="3" item="71"/>
          <tpl hier="64" item="0"/>
        </tpls>
      </n>
      <n v="219" in="1">
        <tpls c="4">
          <tpl fld="8" item="0"/>
          <tpl fld="9" item="5"/>
          <tpl fld="3" item="59"/>
          <tpl hier="64" item="0"/>
        </tpls>
      </n>
      <n v="95187730.769999981" in="0">
        <tpls c="4">
          <tpl fld="8" item="0"/>
          <tpl fld="9" item="0"/>
          <tpl fld="3" item="101"/>
          <tpl hier="64" item="0"/>
        </tpls>
      </n>
      <n v="12342793.34" in="0">
        <tpls c="4">
          <tpl fld="8" item="1"/>
          <tpl fld="9" item="1"/>
          <tpl fld="3" item="68"/>
          <tpl hier="64" item="0"/>
        </tpls>
      </n>
      <n v="108462.54000000001" in="0">
        <tpls c="4">
          <tpl fld="8" item="0"/>
          <tpl fld="9" item="1"/>
          <tpl fld="3" item="16"/>
          <tpl hier="64" item="0"/>
        </tpls>
      </n>
      <n v="142" in="1">
        <tpls c="4">
          <tpl fld="8" item="1"/>
          <tpl fld="9" item="4"/>
          <tpl fld="2" item="14"/>
          <tpl hier="64" item="0"/>
        </tpls>
      </n>
      <n v="10817400.16" in="0">
        <tpls c="4">
          <tpl fld="8" item="0"/>
          <tpl fld="9" item="0"/>
          <tpl fld="3" item="32"/>
          <tpl hier="64" item="0"/>
        </tpls>
      </n>
      <n v="586" in="1">
        <tpls c="4">
          <tpl fld="8" item="0"/>
          <tpl fld="9" item="4"/>
          <tpl fld="3" item="46"/>
          <tpl hier="64" item="0"/>
        </tpls>
      </n>
      <n v="359209.18000000005" in="0">
        <tpls c="4">
          <tpl fld="8" item="0"/>
          <tpl fld="9" item="0"/>
          <tpl fld="3" item="27"/>
          <tpl hier="64" item="0"/>
        </tpls>
      </n>
      <n v="0" in="1">
        <tpls c="4">
          <tpl fld="8" item="1"/>
          <tpl fld="9" item="4"/>
          <tpl fld="3" item="81"/>
          <tpl hier="64" item="0"/>
        </tpls>
      </n>
      <n v="11925" in="0">
        <tpls c="4">
          <tpl fld="8" item="1"/>
          <tpl fld="9" item="0"/>
          <tpl fld="3" item="26"/>
          <tpl hier="64" item="0"/>
        </tpls>
      </n>
      <n v="1137413.68" in="0">
        <tpls c="4">
          <tpl fld="8" item="0"/>
          <tpl fld="9" item="0"/>
          <tpl fld="3" item="64"/>
          <tpl hier="64" item="0"/>
        </tpls>
      </n>
      <n v="477" in="1">
        <tpls c="4">
          <tpl fld="8" item="1"/>
          <tpl fld="9" item="5"/>
          <tpl fld="3" item="36"/>
          <tpl hier="64" item="0"/>
        </tpls>
      </n>
      <n v="10834" in="1">
        <tpls c="4">
          <tpl fld="8" item="1"/>
          <tpl fld="9" item="5"/>
          <tpl fld="3" item="3"/>
          <tpl hier="64" item="0"/>
        </tpls>
      </n>
      <n v="11249907.920000002" in="0">
        <tpls c="5">
          <tpl fld="4" item="22"/>
          <tpl fld="8" item="1"/>
          <tpl fld="9" item="0"/>
          <tpl hier="60" item="4294967295"/>
          <tpl hier="64" item="0"/>
        </tpls>
      </n>
      <n v="54128309.979999997" in="0">
        <tpls c="4">
          <tpl fld="8" item="0"/>
          <tpl fld="9" item="0"/>
          <tpl fld="3" item="89"/>
          <tpl hier="64" item="0"/>
        </tpls>
      </n>
      <n v="0" in="0">
        <tpls c="4">
          <tpl fld="8" item="1"/>
          <tpl fld="9" item="1"/>
          <tpl fld="3" item="13"/>
          <tpl hier="64" item="0"/>
        </tpls>
      </n>
      <n v="0" in="0">
        <tpls c="4">
          <tpl fld="8" item="1"/>
          <tpl fld="9" item="1"/>
          <tpl fld="3" item="71"/>
          <tpl hier="64" item="0"/>
        </tpls>
      </n>
      <n v="0" in="1">
        <tpls c="4">
          <tpl fld="8" item="0"/>
          <tpl fld="9" item="4"/>
          <tpl fld="3" item="26"/>
          <tpl hier="64" item="0"/>
        </tpls>
      </n>
      <n v="118" in="1">
        <tpls c="4">
          <tpl fld="8" item="1"/>
          <tpl fld="9" item="5"/>
          <tpl fld="3" item="29"/>
          <tpl hier="64" item="0"/>
        </tpls>
      </n>
      <n v="4255977.0199999996" in="0">
        <tpls c="4">
          <tpl fld="8" item="0"/>
          <tpl fld="9" item="1"/>
          <tpl fld="3" item="20"/>
          <tpl hier="64" item="0"/>
        </tpls>
      </n>
      <n v="84" in="1">
        <tpls c="4">
          <tpl fld="8" item="1"/>
          <tpl fld="9" item="4"/>
          <tpl fld="2" item="12"/>
          <tpl hier="64" item="0"/>
        </tpls>
      </n>
      <n v="12911710.08" in="0">
        <tpls c="4">
          <tpl fld="8" item="1"/>
          <tpl fld="9" item="0"/>
          <tpl fld="3" item="72"/>
          <tpl hier="64" item="0"/>
        </tpls>
      </n>
      <n v="61" in="1">
        <tpls c="4">
          <tpl fld="8" item="0"/>
          <tpl fld="9" item="5"/>
          <tpl fld="3" item="102"/>
          <tpl hier="64" item="0"/>
        </tpls>
      </n>
      <n v="606451296.52999961" in="0">
        <tpls c="2">
          <tpl fld="9" item="0"/>
          <tpl fld="3" item="0"/>
        </tpls>
      </n>
      <n v="2" in="1">
        <tpls c="4">
          <tpl fld="8" item="1"/>
          <tpl fld="9" item="4"/>
          <tpl fld="3" item="60"/>
          <tpl hier="64" item="0"/>
        </tpls>
      </n>
      <n v="41565578.75" in="0">
        <tpls c="4">
          <tpl fld="8" item="1"/>
          <tpl fld="9" item="0"/>
          <tpl fld="3" item="82"/>
          <tpl hier="64" item="0"/>
        </tpls>
      </n>
      <n v="939" in="1">
        <tpls c="4">
          <tpl fld="8" item="0"/>
          <tpl fld="9" item="5"/>
          <tpl fld="3" item="66"/>
          <tpl hier="64" item="0"/>
        </tpls>
      </n>
      <n v="33806728.18" in="0">
        <tpls c="4">
          <tpl fld="8" item="1"/>
          <tpl fld="9" item="0"/>
          <tpl fld="3" item="108"/>
          <tpl hier="64" item="0"/>
        </tpls>
      </n>
      <n v="7.2759576141834259E-12" in="0">
        <tpls c="2">
          <tpl fld="9" item="0"/>
          <tpl fld="3" item="2"/>
        </tpls>
      </n>
      <m>
        <tpls c="5">
          <tpl fld="4" item="6"/>
          <tpl fld="8" item="1"/>
          <tpl fld="9" item="0"/>
          <tpl fld="10" item="0"/>
          <tpl hier="64" item="0"/>
        </tpls>
      </m>
      <n v="45610989.470000006" in="0">
        <tpls c="4">
          <tpl fld="8" item="0"/>
          <tpl fld="9" item="0"/>
          <tpl fld="3" item="93"/>
          <tpl hier="64" item="0"/>
        </tpls>
      </n>
      <n v="1300" in="0">
        <tpls c="4">
          <tpl fld="8" item="1"/>
          <tpl fld="9" item="1"/>
          <tpl fld="3" item="56"/>
          <tpl hier="64" item="0"/>
        </tpls>
      </n>
      <n v="167" in="1">
        <tpls c="4">
          <tpl fld="8" item="1"/>
          <tpl fld="9" item="5"/>
          <tpl fld="3" item="63"/>
          <tpl hier="64" item="0"/>
        </tpls>
      </n>
      <n v="0" in="0">
        <tpls c="4">
          <tpl fld="8" item="1"/>
          <tpl fld="9" item="0"/>
          <tpl fld="3" item="2"/>
          <tpl hier="64" item="0"/>
        </tpls>
      </n>
      <n v="0" in="0">
        <tpls c="4">
          <tpl fld="8" item="1"/>
          <tpl fld="9" item="1"/>
          <tpl fld="3" item="8"/>
          <tpl hier="64" item="0"/>
        </tpls>
      </n>
      <m>
        <tpls c="5">
          <tpl fld="4" item="16"/>
          <tpl fld="8" item="1"/>
          <tpl fld="9" item="0"/>
          <tpl fld="10" item="0"/>
          <tpl hier="64" item="0"/>
        </tpls>
      </m>
      <n v="7570897.2999999998" in="0">
        <tpls c="5">
          <tpl fld="4" item="20"/>
          <tpl fld="8" item="1"/>
          <tpl fld="9" item="0"/>
          <tpl hier="60" item="4294967295"/>
          <tpl hier="64" item="0"/>
        </tpls>
      </n>
      <n v="37639551.079999998" in="0">
        <tpls c="4">
          <tpl fld="8" item="0"/>
          <tpl fld="9" item="0"/>
          <tpl fld="3" item="108"/>
          <tpl hier="64" item="0"/>
        </tpls>
      </n>
      <n v="0" in="1">
        <tpls c="4">
          <tpl fld="8" item="0"/>
          <tpl fld="9" item="5"/>
          <tpl fld="3" item="7"/>
          <tpl hier="64" item="0"/>
        </tpls>
      </n>
      <n v="2412273.7999999998" in="0">
        <tpls c="4">
          <tpl fld="8" item="1"/>
          <tpl fld="9" item="0"/>
          <tpl fld="2" item="14"/>
          <tpl hier="64" item="0"/>
        </tpls>
      </n>
      <n v="18832375.810000002" in="0">
        <tpls c="5">
          <tpl fld="4" item="14"/>
          <tpl fld="8" item="1"/>
          <tpl fld="9" item="0"/>
          <tpl fld="10" item="0"/>
          <tpl hier="64" item="0"/>
        </tpls>
      </n>
      <n v="118827" in="1">
        <tpls c="4">
          <tpl fld="8" item="0"/>
          <tpl fld="9" item="5"/>
          <tpl fld="3" item="53"/>
          <tpl hier="64" item="0"/>
        </tpls>
      </n>
      <n v="850" in="1">
        <tpls c="4">
          <tpl fld="8" item="0"/>
          <tpl fld="9" item="5"/>
          <tpl fld="3" item="45"/>
          <tpl hier="64" item="0"/>
        </tpls>
      </n>
      <n v="910356.49" in="0">
        <tpls c="4">
          <tpl fld="8" item="0"/>
          <tpl fld="9" item="1"/>
          <tpl fld="3" item="29"/>
          <tpl hier="64" item="0"/>
        </tpls>
      </n>
      <n v="35783725.129999995" in="0">
        <tpls c="5">
          <tpl fld="4" item="19"/>
          <tpl fld="8" item="1"/>
          <tpl fld="9" item="0"/>
          <tpl fld="10" item="0"/>
          <tpl hier="64" item="0"/>
        </tpls>
      </n>
      <n v="11" in="1">
        <tpls c="4">
          <tpl fld="8" item="1"/>
          <tpl fld="9" item="5"/>
          <tpl fld="3" item="8"/>
          <tpl hier="64" item="0"/>
        </tpls>
      </n>
      <n v="158959.55999999997" in="0">
        <tpls c="4">
          <tpl fld="8" item="1"/>
          <tpl fld="9" item="0"/>
          <tpl fld="3" item="8"/>
          <tpl hier="64" item="0"/>
        </tpls>
      </n>
      <n v="0" in="0">
        <tpls c="4">
          <tpl fld="8" item="1"/>
          <tpl fld="9" item="0"/>
          <tpl fld="3" item="7"/>
          <tpl hier="64" item="0"/>
        </tpls>
      </n>
      <n v="9947" in="1">
        <tpls c="4">
          <tpl fld="8" item="1"/>
          <tpl fld="9" item="5"/>
          <tpl fld="3" item="89"/>
          <tpl hier="64" item="0"/>
        </tpls>
      </n>
      <n v="15410247.350000001" in="0">
        <tpls c="4">
          <tpl fld="8" item="1"/>
          <tpl fld="9" item="1"/>
          <tpl fld="3" item="108"/>
          <tpl hier="64" item="0"/>
        </tpls>
      </n>
      <n v="13480596.969999999" in="0">
        <tpls c="4">
          <tpl fld="8" item="0"/>
          <tpl fld="9" item="0"/>
          <tpl fld="3" item="67"/>
          <tpl hier="64" item="0"/>
        </tpls>
      </n>
      <n v="612" in="1">
        <tpls c="4">
          <tpl fld="8" item="1"/>
          <tpl fld="9" item="5"/>
          <tpl fld="3" item="41"/>
          <tpl hier="64" item="0"/>
        </tpls>
      </n>
      <n v="17428849.829999998" in="0">
        <tpls c="4">
          <tpl fld="8" item="0"/>
          <tpl fld="9" item="0"/>
          <tpl fld="3" item="55"/>
          <tpl hier="64" item="0"/>
        </tpls>
      </n>
      <n v="152415153.18000001" in="0">
        <tpls c="4">
          <tpl fld="8" item="0"/>
          <tpl fld="9" item="1"/>
          <tpl fld="3" item="48"/>
          <tpl hier="64" item="0"/>
        </tpls>
      </n>
      <n v="2885.88" in="0">
        <tpls c="4">
          <tpl fld="8" item="0"/>
          <tpl fld="9" item="1"/>
          <tpl fld="3" item="49"/>
          <tpl hier="64" item="0"/>
        </tpls>
      </n>
      <n v="275" in="1">
        <tpls c="4">
          <tpl fld="8" item="1"/>
          <tpl fld="9" item="4"/>
          <tpl fld="2" item="7"/>
          <tpl hier="64" item="0"/>
        </tpls>
      </n>
      <n v="65" in="1">
        <tpls c="4">
          <tpl fld="8" item="1"/>
          <tpl fld="9" item="5"/>
          <tpl fld="3" item="61"/>
          <tpl hier="64" item="0"/>
        </tpls>
      </n>
      <n v="10265230.710000001" in="0">
        <tpls c="5">
          <tpl fld="4" item="12"/>
          <tpl fld="8" item="1"/>
          <tpl fld="9" item="0"/>
          <tpl fld="10" item="0"/>
          <tpl hier="64" item="0"/>
        </tpls>
      </n>
      <n v="0" in="1">
        <tpls c="4">
          <tpl fld="8" item="1"/>
          <tpl fld="9" item="4"/>
          <tpl fld="3" item="51"/>
          <tpl hier="64" item="0"/>
        </tpls>
      </n>
      <n v="0" in="0">
        <tpls c="4">
          <tpl fld="8" item="1"/>
          <tpl fld="9" item="0"/>
          <tpl fld="3" item="38"/>
          <tpl hier="64" item="0"/>
        </tpls>
      </n>
      <m>
        <tpls c="5">
          <tpl fld="4" item="18"/>
          <tpl fld="8" item="1"/>
          <tpl fld="9" item="0"/>
          <tpl fld="10" item="0"/>
          <tpl hier="64" item="0"/>
        </tpls>
      </m>
      <n v="609465" in="1">
        <tpls c="4">
          <tpl fld="8" item="1"/>
          <tpl fld="9" item="5"/>
          <tpl fld="2" item="4"/>
          <tpl hier="64" item="0"/>
        </tpls>
      </n>
      <n v="115" in="1">
        <tpls c="4">
          <tpl fld="8" item="0"/>
          <tpl fld="9" item="4"/>
          <tpl fld="3" item="58"/>
          <tpl hier="64" item="0"/>
        </tpls>
      </n>
      <n v="7570897.2999999998" in="0">
        <tpls c="5">
          <tpl fld="4" item="20"/>
          <tpl fld="8" item="1"/>
          <tpl fld="9" item="0"/>
          <tpl fld="10" item="1"/>
          <tpl hier="64" item="0"/>
        </tpls>
      </n>
      <n v="13" in="1">
        <tpls c="4">
          <tpl fld="8" item="1"/>
          <tpl fld="9" item="5"/>
          <tpl fld="2" item="18"/>
          <tpl hier="64" item="0"/>
        </tpls>
      </n>
      <n v="2714" in="1">
        <tpls c="4">
          <tpl fld="8" item="1"/>
          <tpl fld="9" item="5"/>
          <tpl fld="2" item="13"/>
          <tpl hier="64" item="0"/>
        </tpls>
      </n>
      <n v="8908876.4800000004" in="0">
        <tpls c="4">
          <tpl fld="8" item="0"/>
          <tpl fld="9" item="0"/>
          <tpl fld="3" item="6"/>
          <tpl hier="64" item="0"/>
        </tpls>
      </n>
      <n v="489344" in="1">
        <tpls c="5">
          <tpl fld="4" item="13"/>
          <tpl fld="8" item="1"/>
          <tpl fld="9" item="5"/>
          <tpl hier="54" item="4294967295"/>
          <tpl hier="64" item="0"/>
        </tpls>
      </n>
      <n v="45" in="1">
        <tpls c="4">
          <tpl fld="8" item="1"/>
          <tpl fld="9" item="4"/>
          <tpl fld="2" item="1"/>
          <tpl hier="64" item="0"/>
        </tpls>
      </n>
      <n v="542791567.23000002" in="0">
        <tpls c="5">
          <tpl fld="4" item="13"/>
          <tpl fld="8" item="1"/>
          <tpl fld="9" item="0"/>
          <tpl hier="60" item="4294967295"/>
          <tpl hier="64" item="0"/>
        </tpls>
      </n>
      <n v="23821784.210000001" in="0">
        <tpls c="5">
          <tpl fld="4" item="17"/>
          <tpl fld="8" item="1"/>
          <tpl fld="9" item="0"/>
          <tpl fld="10" item="1"/>
          <tpl hier="64" item="0"/>
        </tpls>
      </n>
      <n v="3241051.3299999996" in="0">
        <tpls c="5">
          <tpl fld="4" item="15"/>
          <tpl fld="8" item="1"/>
          <tpl fld="9" item="0"/>
          <tpl hier="60" item="4294967295"/>
          <tpl hier="64" item="0"/>
        </tpls>
      </n>
      <m>
        <tpls c="5">
          <tpl fld="4" item="10"/>
          <tpl fld="8" item="1"/>
          <tpl fld="9" item="5"/>
          <tpl fld="1" item="0"/>
          <tpl hier="64" item="0"/>
        </tpls>
      </m>
      <n v="34743.089999999997" in="0">
        <tpls c="4">
          <tpl fld="8" item="1"/>
          <tpl fld="9" item="1"/>
          <tpl fld="3" item="61"/>
          <tpl hier="64" item="0"/>
        </tpls>
      </n>
      <n v="5029048.3800000008" in="0">
        <tpls c="4">
          <tpl fld="8" item="0"/>
          <tpl fld="9" item="1"/>
          <tpl fld="3" item="68"/>
          <tpl hier="64" item="0"/>
        </tpls>
      </n>
      <n v="100776" in="1">
        <tpls c="4">
          <tpl fld="8" item="1"/>
          <tpl fld="9" item="5"/>
          <tpl fld="2" item="22"/>
          <tpl hier="64" item="0"/>
        </tpls>
      </n>
      <n v="2776221.86" in="0">
        <tpls c="4">
          <tpl fld="8" item="1"/>
          <tpl fld="9" item="0"/>
          <tpl fld="3" item="53"/>
          <tpl hier="64" item="0"/>
        </tpls>
      </n>
      <n v="0" in="0">
        <tpls c="4">
          <tpl fld="8" item="1"/>
          <tpl fld="9" item="0"/>
          <tpl fld="3" item="3"/>
          <tpl hier="64" item="0"/>
        </tpls>
      </n>
      <n v="1069843.6400000001" in="0">
        <tpls c="4">
          <tpl fld="8" item="1"/>
          <tpl fld="9" item="0"/>
          <tpl fld="2" item="1"/>
          <tpl hier="64" item="0"/>
        </tpls>
      </n>
      <n v="1252574.6599999999" in="0">
        <tpls c="4">
          <tpl fld="8" item="0"/>
          <tpl fld="9" item="1"/>
          <tpl fld="3" item="58"/>
          <tpl hier="64" item="0"/>
        </tpls>
      </n>
      <n v="0" in="0">
        <tpls c="4">
          <tpl fld="8" item="0"/>
          <tpl fld="9" item="0"/>
          <tpl fld="3" item="70"/>
          <tpl hier="64" item="0"/>
        </tpls>
      </n>
      <n v="7983" in="1">
        <tpls c="4">
          <tpl fld="8" item="0"/>
          <tpl fld="9" item="5"/>
          <tpl fld="3" item="33"/>
          <tpl hier="64" item="0"/>
        </tpls>
      </n>
      <n v="2100" in="0">
        <tpls c="4">
          <tpl fld="8" item="0"/>
          <tpl fld="9" item="1"/>
          <tpl fld="3" item="56"/>
          <tpl hier="64" item="0"/>
        </tpls>
      </n>
      <n v="898185.61999999988" in="0">
        <tpls c="4">
          <tpl fld="8" item="1"/>
          <tpl fld="9" item="1"/>
          <tpl fld="3" item="20"/>
          <tpl hier="64" item="0"/>
        </tpls>
      </n>
      <m>
        <tpls c="5">
          <tpl fld="4" item="17"/>
          <tpl fld="8" item="1"/>
          <tpl fld="9" item="0"/>
          <tpl fld="10" item="0"/>
          <tpl hier="64" item="0"/>
        </tpls>
      </m>
      <n v="4864" in="1">
        <tpls c="4">
          <tpl fld="8" item="1"/>
          <tpl fld="9" item="5"/>
          <tpl fld="2" item="24"/>
          <tpl hier="64" item="0"/>
        </tpls>
      </n>
      <n v="449" in="1">
        <tpls c="4">
          <tpl fld="8" item="1"/>
          <tpl fld="9" item="4"/>
          <tpl fld="3" item="44"/>
          <tpl hier="64" item="0"/>
        </tpls>
      </n>
      <n v="0" in="1">
        <tpls c="4">
          <tpl fld="8" item="1"/>
          <tpl fld="9" item="5"/>
          <tpl fld="3" item="35"/>
          <tpl hier="64" item="0"/>
        </tpls>
      </n>
      <n v="107768275.47999999" in="0">
        <tpls c="4">
          <tpl fld="8" item="1"/>
          <tpl fld="9" item="0"/>
          <tpl fld="2" item="9"/>
          <tpl hier="64" item="0"/>
        </tpls>
      </n>
      <n v="22" in="1">
        <tpls c="4">
          <tpl fld="8" item="1"/>
          <tpl fld="9" item="4"/>
          <tpl fld="2" item="21"/>
          <tpl hier="64" item="0"/>
        </tpls>
      </n>
      <n v="59403" in="1">
        <tpls c="4">
          <tpl fld="8" item="1"/>
          <tpl fld="9" item="5"/>
          <tpl fld="2" item="9"/>
          <tpl hier="64" item="0"/>
        </tpls>
      </n>
      <n v="215" in="1">
        <tpls c="4">
          <tpl fld="8" item="1"/>
          <tpl fld="9" item="4"/>
          <tpl fld="2" item="11"/>
          <tpl hier="64" item="0"/>
        </tpls>
      </n>
      <n v="8" in="1">
        <tpls c="4">
          <tpl fld="8" item="0"/>
          <tpl fld="9" item="5"/>
          <tpl fld="3" item="12"/>
          <tpl hier="64" item="0"/>
        </tpls>
      </n>
      <n v="8421" in="1">
        <tpls c="5">
          <tpl fld="4" item="17"/>
          <tpl fld="8" item="1"/>
          <tpl fld="9" item="5"/>
          <tpl fld="1" item="1"/>
          <tpl hier="64" item="0"/>
        </tpls>
      </n>
      <n v="2498811" in="1">
        <tpls c="5">
          <tpl hier="22" item="4294967295"/>
          <tpl fld="8" item="1"/>
          <tpl fld="9" item="5"/>
          <tpl hier="54" item="4294967295"/>
          <tpl hier="64" item="0"/>
        </tpls>
      </n>
      <n v="50" in="1">
        <tpls c="5">
          <tpl fld="4" item="6"/>
          <tpl fld="8" item="1"/>
          <tpl fld="9" item="5"/>
          <tpl fld="1" item="1"/>
          <tpl hier="64" item="0"/>
        </tpls>
      </n>
      <m>
        <tpls c="5">
          <tpl fld="4" item="8"/>
          <tpl fld="8" item="1"/>
          <tpl fld="9" item="0"/>
          <tpl fld="10" item="1"/>
          <tpl hier="64" item="0"/>
        </tpls>
      </m>
      <n v="12" in="1">
        <tpls c="4">
          <tpl fld="8" item="0"/>
          <tpl fld="9" item="5"/>
          <tpl fld="3" item="8"/>
          <tpl hier="64" item="0"/>
        </tpls>
      </n>
      <n v="5738" in="1">
        <tpls c="4">
          <tpl fld="8" item="0"/>
          <tpl fld="9" item="4"/>
          <tpl fld="3" item="84"/>
          <tpl hier="64" item="0"/>
        </tpls>
      </n>
      <n v="15" in="1">
        <tpls c="4">
          <tpl fld="8" item="0"/>
          <tpl fld="9" item="4"/>
          <tpl fld="3" item="59"/>
          <tpl hier="64" item="0"/>
        </tpls>
      </n>
      <n v="0" in="1">
        <tpls c="4">
          <tpl fld="8" item="0"/>
          <tpl fld="9" item="4"/>
          <tpl fld="3" item="12"/>
          <tpl hier="64" item="0"/>
        </tpls>
      </n>
      <m>
        <tpls c="5">
          <tpl fld="4" item="22"/>
          <tpl fld="8" item="1"/>
          <tpl fld="9" item="5"/>
          <tpl fld="1" item="0"/>
          <tpl hier="64" item="0"/>
        </tpls>
      </m>
      <n v="23506" in="1">
        <tpls c="4">
          <tpl fld="8" item="1"/>
          <tpl fld="9" item="4"/>
          <tpl fld="3" item="108"/>
          <tpl hier="64" item="0"/>
        </tpls>
      </n>
      <n v="2" in="1">
        <tpls c="4">
          <tpl fld="8" item="0"/>
          <tpl fld="9" item="4"/>
          <tpl fld="3" item="85"/>
          <tpl hier="64" item="0"/>
        </tpls>
      </n>
      <n v="51" in="1">
        <tpls c="4">
          <tpl fld="8" item="1"/>
          <tpl fld="9" item="4"/>
          <tpl fld="2" item="19"/>
          <tpl hier="64" item="0"/>
        </tpls>
      </n>
      <n v="1345" in="1">
        <tpls c="5">
          <tpl fld="4" item="10"/>
          <tpl fld="8" item="1"/>
          <tpl fld="9" item="5"/>
          <tpl hier="54" item="4294967295"/>
          <tpl hier="64" item="0"/>
        </tpls>
      </n>
      <n v="2030100.31" in="0">
        <tpls c="4">
          <tpl fld="8" item="0"/>
          <tpl fld="9" item="0"/>
          <tpl fld="3" item="59"/>
          <tpl hier="64" item="0"/>
        </tpls>
      </n>
      <n v="164639" in="1">
        <tpls c="5">
          <tpl fld="4" item="9"/>
          <tpl fld="8" item="1"/>
          <tpl fld="9" item="5"/>
          <tpl hier="54" item="4294967295"/>
          <tpl hier="64" item="0"/>
        </tpls>
      </n>
      <n v="163" in="1">
        <tpls c="4">
          <tpl fld="8" item="1"/>
          <tpl fld="9" item="5"/>
          <tpl fld="3" item="85"/>
          <tpl hier="64" item="0"/>
        </tpls>
      </n>
      <n v="0" in="0">
        <tpls c="4">
          <tpl fld="8" item="0"/>
          <tpl fld="9" item="1"/>
          <tpl fld="3" item="79"/>
          <tpl hier="64" item="0"/>
        </tpls>
      </n>
      <n v="1024921.8300000001" in="0">
        <tpls c="4">
          <tpl fld="8" item="0"/>
          <tpl fld="9" item="0"/>
          <tpl fld="3" item="99"/>
          <tpl hier="64" item="0"/>
        </tpls>
      </n>
      <n v="3915.56" in="0">
        <tpls c="4">
          <tpl fld="8" item="1"/>
          <tpl fld="9" item="1"/>
          <tpl fld="3" item="49"/>
          <tpl hier="64" item="0"/>
        </tpls>
      </n>
      <n v="146" in="1">
        <tpls c="4">
          <tpl fld="8" item="0"/>
          <tpl fld="9" item="4"/>
          <tpl fld="3" item="41"/>
          <tpl hier="64" item="0"/>
        </tpls>
      </n>
      <n v="731141.42999999993" in="0">
        <tpls c="4">
          <tpl fld="8" item="0"/>
          <tpl fld="9" item="0"/>
          <tpl fld="3" item="18"/>
          <tpl hier="64" item="0"/>
        </tpls>
      </n>
      <n v="167975.76" in="0">
        <tpls c="4">
          <tpl fld="8" item="1"/>
          <tpl fld="9" item="0"/>
          <tpl fld="3" item="90"/>
          <tpl hier="64" item="0"/>
        </tpls>
      </n>
      <n v="0" in="1">
        <tpls c="4">
          <tpl fld="8" item="1"/>
          <tpl fld="9" item="4"/>
          <tpl fld="3" item="91"/>
          <tpl hier="64" item="0"/>
        </tpls>
      </n>
      <n v="6139303.0300000003" in="0">
        <tpls c="4">
          <tpl fld="8" item="1"/>
          <tpl fld="9" item="1"/>
          <tpl fld="3" item="104"/>
          <tpl hier="64" item="0"/>
        </tpls>
      </n>
      <n v="69" in="1">
        <tpls c="4">
          <tpl fld="8" item="0"/>
          <tpl fld="9" item="5"/>
          <tpl fld="3" item="91"/>
          <tpl hier="64" item="0"/>
        </tpls>
      </n>
      <n v="0" in="1">
        <tpls c="4">
          <tpl fld="8" item="0"/>
          <tpl fld="9" item="5"/>
          <tpl fld="3" item="70"/>
          <tpl hier="64" item="0"/>
        </tpls>
      </n>
      <n v="1081938.0900000001" in="0">
        <tpls c="4">
          <tpl fld="8" item="1"/>
          <tpl fld="9" item="0"/>
          <tpl fld="3" item="100"/>
          <tpl hier="64" item="0"/>
        </tpls>
      </n>
      <n v="1" in="1">
        <tpls c="4">
          <tpl fld="8" item="0"/>
          <tpl fld="9" item="5"/>
          <tpl fld="3" item="23"/>
          <tpl hier="64" item="0"/>
        </tpls>
      </n>
      <n v="0" in="1">
        <tpls c="4">
          <tpl fld="8" item="1"/>
          <tpl fld="9" item="4"/>
          <tpl fld="3" item="24"/>
          <tpl hier="64" item="0"/>
        </tpls>
      </n>
      <n v="96022033.639999986" in="0">
        <tpls c="4">
          <tpl fld="8" item="1"/>
          <tpl fld="9" item="1"/>
          <tpl fld="3" item="73"/>
          <tpl hier="64" item="0"/>
        </tpls>
      </n>
      <n v="2029786.85" in="0">
        <tpls c="4">
          <tpl fld="8" item="0"/>
          <tpl fld="9" item="0"/>
          <tpl fld="3" item="50"/>
          <tpl hier="64" item="0"/>
        </tpls>
      </n>
      <n v="8293" in="1">
        <tpls c="4">
          <tpl fld="8" item="1"/>
          <tpl fld="9" item="5"/>
          <tpl fld="3" item="80"/>
          <tpl hier="64" item="0"/>
        </tpls>
      </n>
      <n v="6" in="1">
        <tpls c="4">
          <tpl fld="8" item="1"/>
          <tpl fld="9" item="5"/>
          <tpl fld="3" item="31"/>
          <tpl hier="64" item="0"/>
        </tpls>
      </n>
      <n v="2" in="1">
        <tpls c="4">
          <tpl fld="8" item="0"/>
          <tpl fld="9" item="4"/>
          <tpl fld="3" item="91"/>
          <tpl hier="64" item="0"/>
        </tpls>
      </n>
      <n v="19950" in="0">
        <tpls c="4">
          <tpl fld="8" item="1"/>
          <tpl fld="9" item="1"/>
          <tpl fld="3" item="18"/>
          <tpl hier="64" item="0"/>
        </tpls>
      </n>
      <n v="346" in="1">
        <tpls c="4">
          <tpl fld="8" item="1"/>
          <tpl fld="9" item="4"/>
          <tpl fld="3" item="22"/>
          <tpl hier="64" item="0"/>
        </tpls>
      </n>
      <n v="0" in="1">
        <tpls c="4">
          <tpl fld="8" item="1"/>
          <tpl fld="9" item="4"/>
          <tpl fld="3" item="71"/>
          <tpl hier="64" item="0"/>
        </tpls>
      </n>
      <n v="2498629.5699999998" in="0">
        <tpls c="4">
          <tpl fld="8" item="0"/>
          <tpl fld="9" item="0"/>
          <tpl fld="3" item="15"/>
          <tpl hier="64" item="0"/>
        </tpls>
      </n>
      <n v="1675871.1099999999" in="0">
        <tpls c="4">
          <tpl fld="8" item="1"/>
          <tpl fld="9" item="0"/>
          <tpl fld="3" item="57"/>
          <tpl hier="64" item="0"/>
        </tpls>
      </n>
      <n v="4" in="1">
        <tpls c="4">
          <tpl fld="8" item="0"/>
          <tpl fld="9" item="5"/>
          <tpl fld="3" item="31"/>
          <tpl hier="64" item="0"/>
        </tpls>
      </n>
      <n v="1" in="1">
        <tpls c="4">
          <tpl fld="8" item="1"/>
          <tpl fld="9" item="5"/>
          <tpl fld="3" item="51"/>
          <tpl hier="64" item="0"/>
        </tpls>
      </n>
      <n v="45520" in="0">
        <tpls c="4">
          <tpl fld="8" item="0"/>
          <tpl fld="9" item="1"/>
          <tpl fld="3" item="19"/>
          <tpl hier="64" item="0"/>
        </tpls>
      </n>
      <n v="45280.7" in="0">
        <tpls c="4">
          <tpl fld="8" item="1"/>
          <tpl fld="9" item="1"/>
          <tpl fld="3" item="11"/>
          <tpl hier="64" item="0"/>
        </tpls>
      </n>
      <n v="0" in="1">
        <tpls c="4">
          <tpl fld="8" item="0"/>
          <tpl fld="9" item="5"/>
          <tpl fld="3" item="30"/>
          <tpl hier="64" item="0"/>
        </tpls>
      </n>
      <n v="568117.29999999993" in="0">
        <tpls c="4">
          <tpl fld="8" item="1"/>
          <tpl fld="9" item="1"/>
          <tpl fld="3" item="65"/>
          <tpl hier="64" item="0"/>
        </tpls>
      </n>
      <n v="4172" in="1">
        <tpls c="4">
          <tpl fld="8" item="0"/>
          <tpl fld="9" item="5"/>
          <tpl fld="3" item="62"/>
          <tpl hier="64" item="0"/>
        </tpls>
      </n>
      <n v="1057776" in="1">
        <tpls c="5">
          <tpl hier="22" item="4294967295"/>
          <tpl fld="8" item="1"/>
          <tpl fld="9" item="5"/>
          <tpl fld="1" item="1"/>
          <tpl hier="64" item="0"/>
        </tpls>
      </n>
      <n v="1121159.42" in="0">
        <tpls c="4">
          <tpl fld="8" item="1"/>
          <tpl fld="9" item="1"/>
          <tpl fld="3" item="40"/>
          <tpl hier="64" item="0"/>
        </tpls>
      </n>
      <n v="357" in="1">
        <tpls c="4">
          <tpl fld="8" item="0"/>
          <tpl fld="9" item="5"/>
          <tpl fld="3" item="28"/>
          <tpl hier="64" item="0"/>
        </tpls>
      </n>
      <n v="1218" in="1">
        <tpls c="4">
          <tpl fld="8" item="0"/>
          <tpl fld="9" item="5"/>
          <tpl fld="3" item="40"/>
          <tpl hier="64" item="0"/>
        </tpls>
      </n>
      <n v="0" in="1">
        <tpls c="4">
          <tpl fld="8" item="0"/>
          <tpl fld="9" item="4"/>
          <tpl fld="3" item="79"/>
          <tpl hier="64" item="0"/>
        </tpls>
      </n>
      <n v="0" in="1">
        <tpls c="4">
          <tpl fld="8" item="1"/>
          <tpl fld="9" item="4"/>
          <tpl fld="3" item="26"/>
          <tpl hier="64" item="0"/>
        </tpls>
      </n>
      <n v="0" in="1">
        <tpls c="4">
          <tpl fld="8" item="0"/>
          <tpl fld="9" item="5"/>
          <tpl fld="3" item="38"/>
          <tpl hier="64" item="0"/>
        </tpls>
      </n>
      <n v="379594311.42000002" in="0">
        <tpls c="4">
          <tpl fld="8" item="0"/>
          <tpl fld="9" item="0"/>
          <tpl fld="3" item="84"/>
          <tpl hier="64" item="0"/>
        </tpls>
      </n>
      <n v="15" in="1">
        <tpls c="4">
          <tpl fld="8" item="0"/>
          <tpl fld="9" item="5"/>
          <tpl fld="3" item="95"/>
          <tpl hier="64" item="0"/>
        </tpls>
      </n>
      <n v="3" in="1">
        <tpls c="4">
          <tpl fld="8" item="1"/>
          <tpl fld="9" item="5"/>
          <tpl fld="3" item="12"/>
          <tpl hier="64" item="0"/>
        </tpls>
      </n>
      <n v="949832.36" in="0">
        <tpls c="4">
          <tpl fld="8" item="0"/>
          <tpl fld="9" item="1"/>
          <tpl fld="3" item="41"/>
          <tpl hier="64" item="0"/>
        </tpls>
      </n>
      <n v="1346399.01" in="0">
        <tpls c="4">
          <tpl fld="8" item="1"/>
          <tpl fld="9" item="1"/>
          <tpl fld="3" item="72"/>
          <tpl hier="64" item="0"/>
        </tpls>
      </n>
      <n v="97114.13" in="0">
        <tpls c="4">
          <tpl fld="8" item="1"/>
          <tpl fld="9" item="1"/>
          <tpl fld="3" item="60"/>
          <tpl hier="64" item="0"/>
        </tpls>
      </n>
      <n v="642" in="1">
        <tpls c="4">
          <tpl fld="8" item="1"/>
          <tpl fld="9" item="4"/>
          <tpl fld="3" item="32"/>
          <tpl hier="64" item="0"/>
        </tpls>
      </n>
      <n v="2671878.67" in="0">
        <tpls c="4">
          <tpl fld="8" item="0"/>
          <tpl fld="9" item="1"/>
          <tpl fld="3" item="92"/>
          <tpl hier="64" item="0"/>
        </tpls>
      </n>
      <n v="78365.64" in="0">
        <tpls c="4">
          <tpl fld="8" item="1"/>
          <tpl fld="9" item="0"/>
          <tpl fld="3" item="31"/>
          <tpl hier="64" item="0"/>
        </tpls>
      </n>
      <n v="41846632.609999999" in="0">
        <tpls c="4">
          <tpl fld="8" item="1"/>
          <tpl fld="9" item="0"/>
          <tpl fld="3" item="93"/>
          <tpl hier="64" item="0"/>
        </tpls>
      </n>
      <n v="32557" in="1">
        <tpls c="5">
          <tpl fld="4" item="12"/>
          <tpl fld="8" item="1"/>
          <tpl fld="9" item="5"/>
          <tpl fld="1" item="1"/>
          <tpl hier="64" item="0"/>
        </tpls>
      </n>
      <n v="10908.199999999999" in="0">
        <tpls c="4">
          <tpl fld="8" item="1"/>
          <tpl fld="9" item="1"/>
          <tpl fld="3" item="59"/>
          <tpl hier="64" item="0"/>
        </tpls>
      </n>
      <n v="122110.28000000001" in="0">
        <tpls c="4">
          <tpl fld="8" item="0"/>
          <tpl fld="9" item="0"/>
          <tpl fld="3" item="17"/>
          <tpl hier="64" item="0"/>
        </tpls>
      </n>
      <n v="0" in="0">
        <tpls c="4">
          <tpl fld="8" item="1"/>
          <tpl fld="9" item="0"/>
          <tpl fld="3" item="81"/>
          <tpl hier="64" item="0"/>
        </tpls>
      </n>
      <n v="26364.720000000001" in="0">
        <tpls c="4">
          <tpl fld="8" item="0"/>
          <tpl fld="9" item="1"/>
          <tpl fld="3" item="17"/>
          <tpl hier="64" item="0"/>
        </tpls>
      </n>
      <n v="453" in="1">
        <tpls c="4">
          <tpl fld="8" item="1"/>
          <tpl fld="9" item="4"/>
          <tpl fld="2" item="24"/>
          <tpl hier="64" item="0"/>
        </tpls>
      </n>
      <n v="16" in="1">
        <tpls c="4">
          <tpl fld="8" item="1"/>
          <tpl fld="9" item="5"/>
          <tpl fld="3" item="15"/>
          <tpl hier="64" item="0"/>
        </tpls>
      </n>
      <n v="398" in="1">
        <tpls c="4">
          <tpl fld="8" item="1"/>
          <tpl fld="9" item="5"/>
          <tpl fld="3" item="20"/>
          <tpl hier="64" item="0"/>
        </tpls>
      </n>
      <n v="3011.2500000000005" in="0">
        <tpls c="4">
          <tpl fld="8" item="0"/>
          <tpl fld="9" item="1"/>
          <tpl fld="3" item="69"/>
          <tpl hier="64" item="0"/>
        </tpls>
      </n>
      <n v="4766778.43" in="0">
        <tpls c="4">
          <tpl fld="8" item="0"/>
          <tpl fld="9" item="1"/>
          <tpl fld="3" item="104"/>
          <tpl hier="64" item="0"/>
        </tpls>
      </n>
      <n v="127" in="1">
        <tpls c="4">
          <tpl fld="8" item="0"/>
          <tpl fld="9" item="5"/>
          <tpl fld="3" item="65"/>
          <tpl hier="64" item="0"/>
        </tpls>
      </n>
      <n v="29287340.849999998" in="0">
        <tpls c="4">
          <tpl fld="8" item="1"/>
          <tpl fld="9" item="0"/>
          <tpl fld="3" item="42"/>
          <tpl hier="64" item="0"/>
        </tpls>
      </n>
      <n v="2" in="1">
        <tpls c="4">
          <tpl fld="8" item="0"/>
          <tpl fld="9" item="4"/>
          <tpl fld="3" item="83"/>
          <tpl hier="64" item="0"/>
        </tpls>
      </n>
      <n v="23" in="1">
        <tpls c="4">
          <tpl fld="8" item="0"/>
          <tpl fld="9" item="4"/>
          <tpl fld="3" item="111"/>
          <tpl hier="64" item="0"/>
        </tpls>
      </n>
      <n v="0" in="1">
        <tpls c="4">
          <tpl fld="8" item="0"/>
          <tpl fld="9" item="5"/>
          <tpl fld="3" item="79"/>
          <tpl hier="64" item="0"/>
        </tpls>
      </n>
      <n v="19894794.279999997" in="0">
        <tpls c="4">
          <tpl fld="8" item="0"/>
          <tpl fld="9" item="0"/>
          <tpl fld="3" item="68"/>
          <tpl hier="64" item="0"/>
        </tpls>
      </n>
      <n v="165" in="1">
        <tpls c="4">
          <tpl fld="8" item="0"/>
          <tpl fld="9" item="4"/>
          <tpl fld="3" item="53"/>
          <tpl hier="64" item="0"/>
        </tpls>
      </n>
      <n v="662358.45000000007" in="0">
        <tpls c="4">
          <tpl fld="8" item="1"/>
          <tpl fld="9" item="1"/>
          <tpl fld="3" item="106"/>
          <tpl hier="64" item="0"/>
        </tpls>
      </n>
      <n v="78365.64" in="0">
        <tpls c="4">
          <tpl fld="8" item="1"/>
          <tpl fld="9" item="0"/>
          <tpl fld="2" item="19"/>
          <tpl hier="64" item="0"/>
        </tpls>
      </n>
      <n v="3652893.97" in="0">
        <tpls c="5">
          <tpl fld="4" item="21"/>
          <tpl fld="8" item="1"/>
          <tpl fld="9" item="0"/>
          <tpl fld="10" item="0"/>
          <tpl hier="64" item="0"/>
        </tpls>
      </n>
      <n v="25785" in="1">
        <tpls c="4">
          <tpl fld="8" item="1"/>
          <tpl fld="9" item="5"/>
          <tpl fld="3" item="6"/>
          <tpl hier="64" item="0"/>
        </tpls>
      </n>
      <n v="0" in="0">
        <tpls c="4">
          <tpl fld="8" item="0"/>
          <tpl fld="9" item="0"/>
          <tpl fld="3" item="81"/>
          <tpl hier="64" item="0"/>
        </tpls>
      </n>
      <m>
        <tpls c="5">
          <tpl fld="4" item="22"/>
          <tpl fld="8" item="1"/>
          <tpl fld="9" item="0"/>
          <tpl fld="10" item="0"/>
          <tpl hier="64" item="0"/>
        </tpls>
      </m>
      <n v="1119914.6300000001" in="0">
        <tpls c="5">
          <tpl fld="4" item="10"/>
          <tpl fld="8" item="1"/>
          <tpl fld="9" item="0"/>
          <tpl hier="60" item="4294967295"/>
          <tpl hier="64" item="0"/>
        </tpls>
      </n>
      <n v="6303722.2699999996" in="0">
        <tpls c="4">
          <tpl fld="8" item="0"/>
          <tpl fld="9" item="1"/>
          <tpl fld="3" item="0"/>
          <tpl hier="64" item="0"/>
        </tpls>
      </n>
      <n v="684732.46" in="0">
        <tpls c="4">
          <tpl fld="8" item="1"/>
          <tpl fld="9" item="0"/>
          <tpl fld="3" item="18"/>
          <tpl hier="64" item="0"/>
        </tpls>
      </n>
      <n v="0" in="1">
        <tpls c="4">
          <tpl fld="8" item="0"/>
          <tpl fld="9" item="5"/>
          <tpl fld="3" item="1"/>
          <tpl hier="64" item="0"/>
        </tpls>
      </n>
      <n v="32747" in="1">
        <tpls c="4">
          <tpl fld="8" item="0"/>
          <tpl fld="9" item="5"/>
          <tpl fld="3" item="55"/>
          <tpl hier="64" item="0"/>
        </tpls>
      </n>
      <n v="4" in="1">
        <tpls c="4">
          <tpl fld="8" item="0"/>
          <tpl fld="9" item="4"/>
          <tpl fld="3" item="49"/>
          <tpl hier="64" item="0"/>
        </tpls>
      </n>
      <n v="1119914.6300000001" in="0">
        <tpls c="5">
          <tpl fld="4" item="10"/>
          <tpl fld="8" item="1"/>
          <tpl fld="9" item="0"/>
          <tpl fld="10" item="1"/>
          <tpl hier="64" item="0"/>
        </tpls>
      </n>
      <n v="0" in="1">
        <tpls c="4">
          <tpl fld="8" item="1"/>
          <tpl fld="9" item="5"/>
          <tpl fld="3" item="4"/>
          <tpl hier="64" item="0"/>
        </tpls>
      </n>
      <n v="0" in="0">
        <tpls c="4">
          <tpl fld="8" item="0"/>
          <tpl fld="9" item="0"/>
          <tpl fld="3" item="30"/>
          <tpl hier="64" item="0"/>
        </tpls>
      </n>
      <n v="5552506.79" in="0">
        <tpls c="4">
          <tpl fld="8" item="1"/>
          <tpl fld="9" item="1"/>
          <tpl fld="3" item="6"/>
          <tpl hier="64" item="0"/>
        </tpls>
      </n>
      <n v="24" in="1">
        <tpls c="4">
          <tpl fld="8" item="1"/>
          <tpl fld="9" item="5"/>
          <tpl fld="3" item="81"/>
          <tpl hier="64" item="0"/>
        </tpls>
      </n>
      <n v="531084" in="1">
        <tpls c="4">
          <tpl fld="8" item="0"/>
          <tpl fld="9" item="5"/>
          <tpl fld="3" item="92"/>
          <tpl hier="64" item="0"/>
        </tpls>
      </n>
      <n v="5076" in="1">
        <tpls c="4">
          <tpl fld="8" item="1"/>
          <tpl fld="9" item="5"/>
          <tpl fld="3" item="76"/>
          <tpl hier="64" item="0"/>
        </tpls>
      </n>
      <n v="12596" in="1">
        <tpls c="4">
          <tpl fld="8" item="1"/>
          <tpl fld="9" item="4"/>
          <tpl fld="2" item="6"/>
          <tpl hier="64" item="0"/>
        </tpls>
      </n>
      <n v="459069" in="1">
        <tpls c="5">
          <tpl fld="4" item="2"/>
          <tpl fld="8" item="1"/>
          <tpl fld="9" item="5"/>
          <tpl hier="54" item="4294967295"/>
          <tpl hier="64" item="0"/>
        </tpls>
      </n>
      <n v="0" in="0">
        <tpls c="5">
          <tpl fld="4" item="4"/>
          <tpl fld="8" item="1"/>
          <tpl fld="9" item="0"/>
          <tpl fld="10" item="0"/>
          <tpl hier="64" item="0"/>
        </tpls>
      </n>
      <n v="4327774.54" in="0">
        <tpls c="4">
          <tpl fld="8" item="0"/>
          <tpl fld="9" item="0"/>
          <tpl fld="3" item="41"/>
          <tpl hier="64" item="0"/>
        </tpls>
      </n>
      <n v="1999" in="1">
        <tpls c="4">
          <tpl fld="8" item="1"/>
          <tpl fld="9" item="5"/>
          <tpl fld="2" item="14"/>
          <tpl hier="64" item="0"/>
        </tpls>
      </n>
      <n v="966273.46" in="0">
        <tpls c="4">
          <tpl fld="8" item="0"/>
          <tpl fld="9" item="0"/>
          <tpl fld="3" item="5"/>
          <tpl hier="64" item="0"/>
        </tpls>
      </n>
      <n v="210488.55" in="0">
        <tpls c="4">
          <tpl fld="8" item="0"/>
          <tpl fld="9" item="0"/>
          <tpl fld="3" item="24"/>
          <tpl hier="64" item="0"/>
        </tpls>
      </n>
      <n v="19520656.469999999" in="0">
        <tpls c="4">
          <tpl fld="8" item="1"/>
          <tpl fld="9" item="0"/>
          <tpl fld="3" item="68"/>
          <tpl hier="64" item="0"/>
        </tpls>
      </n>
      <n v="4" in="1">
        <tpls c="4">
          <tpl fld="8" item="1"/>
          <tpl fld="9" item="4"/>
          <tpl fld="3" item="65"/>
          <tpl hier="64" item="0"/>
        </tpls>
      </n>
      <n v="4639752.16" in="0">
        <tpls c="4">
          <tpl fld="8" item="0"/>
          <tpl fld="9" item="1"/>
          <tpl fld="3" item="6"/>
          <tpl hier="64" item="0"/>
        </tpls>
      </n>
      <n v="91" in="1">
        <tpls c="4">
          <tpl fld="8" item="0"/>
          <tpl fld="9" item="4"/>
          <tpl fld="3" item="64"/>
          <tpl hier="64" item="0"/>
        </tpls>
      </n>
      <n v="0" in="0">
        <tpls c="4">
          <tpl fld="8" item="1"/>
          <tpl fld="9" item="1"/>
          <tpl fld="3" item="70"/>
          <tpl hier="64" item="0"/>
        </tpls>
      </n>
      <n v="5738377.3800000008" in="0">
        <tpls c="4">
          <tpl fld="8" item="0"/>
          <tpl fld="9" item="0"/>
          <tpl fld="3" item="105"/>
          <tpl hier="64" item="0"/>
        </tpls>
      </n>
      <n v="28" in="1">
        <tpls c="4">
          <tpl fld="8" item="0"/>
          <tpl fld="9" item="4"/>
          <tpl fld="3" item="25"/>
          <tpl hier="64" item="0"/>
        </tpls>
      </n>
      <n v="28551682" in="0">
        <tpls c="5">
          <tpl fld="4" item="7"/>
          <tpl fld="8" item="1"/>
          <tpl fld="9" item="0"/>
          <tpl hier="60" item="4294967295"/>
          <tpl hier="64" item="0"/>
        </tpls>
      </n>
      <n v="65" in="1">
        <tpls c="4">
          <tpl fld="8" item="0"/>
          <tpl fld="9" item="4"/>
          <tpl fld="3" item="52"/>
          <tpl hier="64" item="0"/>
        </tpls>
      </n>
      <n v="0" in="0">
        <tpls c="5">
          <tpl fld="4" item="7"/>
          <tpl fld="8" item="1"/>
          <tpl fld="9" item="0"/>
          <tpl fld="10" item="1"/>
          <tpl hier="64" item="0"/>
        </tpls>
      </n>
      <n v="0" in="1">
        <tpls c="4">
          <tpl fld="8" item="0"/>
          <tpl fld="9" item="5"/>
          <tpl fld="3" item="71"/>
          <tpl hier="64" item="0"/>
        </tpls>
      </n>
      <n v="1056840.8500000001" in="0">
        <tpls c="4">
          <tpl fld="8" item="0"/>
          <tpl fld="9" item="1"/>
          <tpl fld="3" item="106"/>
          <tpl hier="64" item="0"/>
        </tpls>
      </n>
      <n v="2822186.6099999994" in="0">
        <tpls c="4">
          <tpl fld="8" item="1"/>
          <tpl fld="9" item="0"/>
          <tpl fld="3" item="40"/>
          <tpl hier="64" item="0"/>
        </tpls>
      </n>
      <m>
        <tpls c="5">
          <tpl fld="4" item="18"/>
          <tpl fld="8" item="1"/>
          <tpl fld="9" item="5"/>
          <tpl fld="1" item="1"/>
          <tpl hier="64" item="0"/>
        </tpls>
      </m>
      <n v="0" in="0">
        <tpls c="4">
          <tpl fld="8" item="0"/>
          <tpl fld="9" item="0"/>
          <tpl fld="3" item="4"/>
          <tpl hier="64" item="0"/>
        </tpls>
      </n>
      <n v="434339.6" in="0">
        <tpls c="4">
          <tpl fld="8" item="0"/>
          <tpl fld="9" item="1"/>
          <tpl fld="3" item="83"/>
          <tpl hier="64" item="0"/>
        </tpls>
      </n>
      <n v="12926362.709999999" in="0">
        <tpls c="4">
          <tpl fld="8" item="0"/>
          <tpl fld="9" item="0"/>
          <tpl fld="3" item="72"/>
          <tpl hier="64" item="0"/>
        </tpls>
      </n>
      <n v="392405.3" in="0">
        <tpls c="4">
          <tpl fld="8" item="1"/>
          <tpl fld="9" item="1"/>
          <tpl fld="3" item="16"/>
          <tpl hier="64" item="0"/>
        </tpls>
      </n>
      <n v="51" in="1">
        <tpls c="4">
          <tpl fld="8" item="1"/>
          <tpl fld="9" item="4"/>
          <tpl fld="3" item="31"/>
          <tpl hier="64" item="0"/>
        </tpls>
      </n>
      <n v="0" in="0">
        <tpls c="4">
          <tpl fld="8" item="0"/>
          <tpl fld="9" item="1"/>
          <tpl fld="3" item="8"/>
          <tpl hier="64" item="0"/>
        </tpls>
      </n>
      <n v="4704" in="1">
        <tpls c="4">
          <tpl fld="8" item="0"/>
          <tpl fld="9" item="5"/>
          <tpl fld="3" item="100"/>
          <tpl hier="64" item="0"/>
        </tpls>
      </n>
      <n v="0" in="0">
        <tpls c="4">
          <tpl fld="8" item="1"/>
          <tpl fld="9" item="1"/>
          <tpl fld="3" item="79"/>
          <tpl hier="64" item="0"/>
        </tpls>
      </n>
      <n v="2" in="1">
        <tpls c="4">
          <tpl fld="8" item="1"/>
          <tpl fld="9" item="5"/>
          <tpl fld="3" item="13"/>
          <tpl hier="64" item="0"/>
        </tpls>
      </n>
      <n v="2" in="1">
        <tpls c="4">
          <tpl fld="8" item="0"/>
          <tpl fld="9" item="4"/>
          <tpl fld="3" item="16"/>
          <tpl hier="64" item="0"/>
        </tpls>
      </n>
      <n v="9453" in="1">
        <tpls c="4">
          <tpl fld="8" item="1"/>
          <tpl fld="9" item="5"/>
          <tpl fld="3" item="32"/>
          <tpl hier="64" item="0"/>
        </tpls>
      </n>
      <n v="1272851.6499999999" in="0">
        <tpls c="4">
          <tpl fld="8" item="1"/>
          <tpl fld="9" item="1"/>
          <tpl fld="3" item="46"/>
          <tpl hier="64" item="0"/>
        </tpls>
      </n>
      <n v="260694" in="1">
        <tpls c="4">
          <tpl fld="8" item="1"/>
          <tpl fld="9" item="5"/>
          <tpl fld="3" item="48"/>
          <tpl hier="64" item="0"/>
        </tpls>
      </n>
      <n v="0" in="1">
        <tpls c="4">
          <tpl fld="8" item="0"/>
          <tpl fld="9" item="4"/>
          <tpl fld="3" item="30"/>
          <tpl hier="64" item="0"/>
        </tpls>
      </n>
      <n v="50" in="1">
        <tpls c="4">
          <tpl fld="8" item="0"/>
          <tpl fld="9" item="5"/>
          <tpl fld="3" item="57"/>
          <tpl hier="64" item="0"/>
        </tpls>
      </n>
      <n v="4" in="1">
        <tpls c="4">
          <tpl fld="8" item="0"/>
          <tpl fld="9" item="4"/>
          <tpl fld="3" item="97"/>
          <tpl hier="64" item="0"/>
        </tpls>
      </n>
      <n v="140467.74000000002" in="0">
        <tpls c="4">
          <tpl fld="8" item="0"/>
          <tpl fld="9" item="0"/>
          <tpl fld="3" item="56"/>
          <tpl hier="64" item="0"/>
        </tpls>
      </n>
      <n v="731751.17" in="0">
        <tpls c="4">
          <tpl fld="8" item="1"/>
          <tpl fld="9" item="0"/>
          <tpl fld="3" item="77"/>
          <tpl hier="64" item="0"/>
        </tpls>
      </n>
      <n v="8" in="1">
        <tpls c="4">
          <tpl fld="8" item="1"/>
          <tpl fld="9" item="4"/>
          <tpl fld="3" item="97"/>
          <tpl hier="64" item="0"/>
        </tpls>
      </n>
      <n v="10" in="1">
        <tpls c="4">
          <tpl fld="8" item="1"/>
          <tpl fld="9" item="5"/>
          <tpl fld="3" item="47"/>
          <tpl hier="64" item="0"/>
        </tpls>
      </n>
      <n v="188543.86" in="0">
        <tpls c="4">
          <tpl fld="8" item="1"/>
          <tpl fld="9" item="1"/>
          <tpl fld="3" item="97"/>
          <tpl hier="64" item="0"/>
        </tpls>
      </n>
      <n v="24588.14" in="0">
        <tpls c="4">
          <tpl fld="8" item="0"/>
          <tpl fld="9" item="1"/>
          <tpl fld="3" item="36"/>
          <tpl hier="64" item="0"/>
        </tpls>
      </n>
      <n v="82923" in="1">
        <tpls c="4">
          <tpl fld="8" item="1"/>
          <tpl fld="9" item="5"/>
          <tpl fld="3" item="101"/>
          <tpl hier="64" item="0"/>
        </tpls>
      </n>
      <n v="0" in="0">
        <tpls c="4">
          <tpl fld="8" item="0"/>
          <tpl fld="9" item="1"/>
          <tpl fld="3" item="23"/>
          <tpl hier="64" item="0"/>
        </tpls>
      </n>
      <n v="21" in="1">
        <tpls c="4">
          <tpl fld="8" item="0"/>
          <tpl fld="9" item="4"/>
          <tpl fld="3" item="78"/>
          <tpl hier="64" item="0"/>
        </tpls>
      </n>
      <n v="289" in="1">
        <tpls c="4">
          <tpl fld="8" item="1"/>
          <tpl fld="9" item="4"/>
          <tpl fld="3" item="74"/>
          <tpl hier="64" item="0"/>
        </tpls>
      </n>
      <n v="10342.050000000001" in="0">
        <tpls c="4">
          <tpl fld="8" item="0"/>
          <tpl fld="9" item="1"/>
          <tpl fld="3" item="24"/>
          <tpl hier="64" item="0"/>
        </tpls>
      </n>
      <n v="72" in="1">
        <tpls c="4">
          <tpl fld="8" item="1"/>
          <tpl fld="9" item="5"/>
          <tpl fld="3" item="102"/>
          <tpl hier="64" item="0"/>
        </tpls>
      </n>
      <n v="0" in="1">
        <tpls c="4">
          <tpl fld="8" item="1"/>
          <tpl fld="9" item="4"/>
          <tpl fld="3" item="37"/>
          <tpl hier="64" item="0"/>
        </tpls>
      </n>
      <n v="418650.33999999997" in="0">
        <tpls c="4">
          <tpl fld="8" item="0"/>
          <tpl fld="9" item="0"/>
          <tpl fld="3" item="61"/>
          <tpl hier="64" item="0"/>
        </tpls>
      </n>
      <n v="3975773.31" in="0">
        <tpls c="4">
          <tpl fld="8" item="1"/>
          <tpl fld="9" item="0"/>
          <tpl fld="3" item="49"/>
          <tpl hier="64" item="0"/>
        </tpls>
      </n>
      <n v="15396" in="1">
        <tpls c="4">
          <tpl fld="8" item="1"/>
          <tpl fld="9" item="5"/>
          <tpl fld="3" item="68"/>
          <tpl hier="64" item="0"/>
        </tpls>
      </n>
      <n v="31755961.909999993" in="0">
        <tpls c="4">
          <tpl fld="8" item="1"/>
          <tpl fld="9" item="0"/>
          <tpl fld="2" item="7"/>
          <tpl hier="64" item="0"/>
        </tpls>
      </n>
      <n v="0" in="1">
        <tpls c="4">
          <tpl fld="8" item="0"/>
          <tpl fld="9" item="5"/>
          <tpl fld="3" item="4"/>
          <tpl hier="64" item="0"/>
        </tpls>
      </n>
      <n v="225" in="1">
        <tpls c="4">
          <tpl fld="8" item="0"/>
          <tpl fld="9" item="4"/>
          <tpl fld="3" item="74"/>
          <tpl hier="64" item="0"/>
        </tpls>
      </n>
      <n v="35" in="1">
        <tpls c="4">
          <tpl fld="8" item="1"/>
          <tpl fld="9" item="5"/>
          <tpl fld="3" item="78"/>
          <tpl hier="64" item="0"/>
        </tpls>
      </n>
      <n v="526361.72" in="0">
        <tpls c="4">
          <tpl fld="8" item="1"/>
          <tpl fld="9" item="1"/>
          <tpl fld="3" item="19"/>
          <tpl hier="64" item="0"/>
        </tpls>
      </n>
      <n v="0" in="0">
        <tpls c="4">
          <tpl fld="8" item="0"/>
          <tpl fld="9" item="0"/>
          <tpl fld="3" item="38"/>
          <tpl hier="64" item="0"/>
        </tpls>
      </n>
      <n v="3577704.81" in="0">
        <tpls c="4">
          <tpl fld="8" item="1"/>
          <tpl fld="9" item="1"/>
          <tpl fld="3" item="92"/>
          <tpl hier="64" item="0"/>
        </tpls>
      </n>
      <n v="222" in="1">
        <tpls c="4">
          <tpl fld="8" item="0"/>
          <tpl fld="9" item="4"/>
          <tpl fld="3" item="55"/>
          <tpl hier="64" item="0"/>
        </tpls>
      </n>
      <n v="379" in="1">
        <tpls c="4">
          <tpl fld="8" item="1"/>
          <tpl fld="9" item="5"/>
          <tpl fld="3" item="28"/>
          <tpl hier="64" item="0"/>
        </tpls>
      </n>
      <n v="68" in="1">
        <tpls c="4">
          <tpl fld="8" item="1"/>
          <tpl fld="9" item="5"/>
          <tpl fld="3" item="52"/>
          <tpl hier="64" item="0"/>
        </tpls>
      </n>
      <n v="0" in="1">
        <tpls c="4">
          <tpl fld="8" item="1"/>
          <tpl fld="9" item="4"/>
          <tpl fld="3" item="8"/>
          <tpl hier="64" item="0"/>
        </tpls>
      </n>
      <n v="513096" in="1">
        <tpls c="4">
          <tpl fld="8" item="1"/>
          <tpl fld="9" item="5"/>
          <tpl fld="3" item="84"/>
          <tpl hier="64" item="0"/>
        </tpls>
      </n>
      <n v="229920.83" in="0">
        <tpls c="4">
          <tpl fld="8" item="1"/>
          <tpl fld="9" item="1"/>
          <tpl fld="3" item="39"/>
          <tpl hier="64" item="0"/>
        </tpls>
      </n>
      <n v="823210.65" in="0">
        <tpls c="4">
          <tpl fld="8" item="0"/>
          <tpl fld="9" item="0"/>
          <tpl fld="3" item="95"/>
          <tpl hier="64" item="0"/>
        </tpls>
      </n>
      <n v="12251836.32" in="0">
        <tpls c="4">
          <tpl fld="8" item="0"/>
          <tpl fld="9" item="1"/>
          <tpl fld="3" item="54"/>
          <tpl hier="64" item="0"/>
        </tpls>
      </n>
      <n v="3570697.0199999996" in="0">
        <tpls c="4">
          <tpl fld="8" item="0"/>
          <tpl fld="9" item="0"/>
          <tpl fld="3" item="66"/>
          <tpl hier="64" item="0"/>
        </tpls>
      </n>
      <n v="156" in="1">
        <tpls c="4">
          <tpl fld="8" item="0"/>
          <tpl fld="9" item="5"/>
          <tpl fld="3" item="85"/>
          <tpl hier="64" item="0"/>
        </tpls>
      </n>
      <n v="157811" in="1">
        <tpls c="4">
          <tpl fld="8" item="1"/>
          <tpl fld="9" item="5"/>
          <tpl fld="3" item="86"/>
          <tpl hier="64" item="0"/>
        </tpls>
      </n>
      <n v="10346038.24" in="0">
        <tpls c="4">
          <tpl fld="8" item="0"/>
          <tpl fld="9" item="1"/>
          <tpl fld="3" item="42"/>
          <tpl hier="64" item="0"/>
        </tpls>
      </n>
      <n v="0" in="1">
        <tpls c="4">
          <tpl fld="8" item="1"/>
          <tpl fld="9" item="4"/>
          <tpl fld="3" item="69"/>
          <tpl hier="64" item="0"/>
        </tpls>
      </n>
      <n v="3261551.99" in="0">
        <tpls c="4">
          <tpl fld="8" item="1"/>
          <tpl fld="9" item="0"/>
          <tpl fld="3" item="98"/>
          <tpl hier="64" item="0"/>
        </tpls>
      </n>
      <n v="0" in="0">
        <tpls c="4">
          <tpl fld="8" item="0"/>
          <tpl fld="9" item="1"/>
          <tpl fld="3" item="71"/>
          <tpl hier="64" item="0"/>
        </tpls>
      </n>
      <n v="0" in="0">
        <tpls c="4">
          <tpl fld="8" item="0"/>
          <tpl fld="9" item="1"/>
          <tpl fld="3" item="70"/>
          <tpl hier="64" item="0"/>
        </tpls>
      </n>
      <n v="2158292.9000000004" in="0">
        <tpls c="4">
          <tpl fld="8" item="0"/>
          <tpl fld="9" item="1"/>
          <tpl fld="3" item="46"/>
          <tpl hier="64" item="0"/>
        </tpls>
      </n>
      <n v="1309" in="0">
        <tpls c="4">
          <tpl fld="8" item="1"/>
          <tpl fld="9" item="1"/>
          <tpl fld="3" item="107"/>
          <tpl hier="64" item="0"/>
        </tpls>
      </n>
      <n v="249376.96999999997" in="0">
        <tpls c="4">
          <tpl fld="8" item="1"/>
          <tpl fld="9" item="0"/>
          <tpl fld="3" item="27"/>
          <tpl hier="64" item="0"/>
        </tpls>
      </n>
      <n v="219" in="1">
        <tpls c="4">
          <tpl fld="8" item="0"/>
          <tpl fld="9" item="4"/>
          <tpl fld="3" item="104"/>
          <tpl hier="64" item="0"/>
        </tpls>
      </n>
      <n v="1" in="1">
        <tpls c="4">
          <tpl fld="8" item="0"/>
          <tpl fld="9" item="4"/>
          <tpl fld="3" item="24"/>
          <tpl hier="64" item="0"/>
        </tpls>
      </n>
      <n v="4" in="1">
        <tpls c="4">
          <tpl fld="8" item="1"/>
          <tpl fld="9" item="4"/>
          <tpl fld="3" item="59"/>
          <tpl hier="64" item="0"/>
        </tpls>
      </n>
      <n v="0" in="0">
        <tpls c="4">
          <tpl fld="8" item="1"/>
          <tpl fld="9" item="0"/>
          <tpl fld="3" item="71"/>
          <tpl hier="64" item="0"/>
        </tpls>
      </n>
      <n v="2" in="1">
        <tpls c="4">
          <tpl fld="8" item="0"/>
          <tpl fld="9" item="4"/>
          <tpl fld="3" item="19"/>
          <tpl hier="64" item="0"/>
        </tpls>
      </n>
      <n v="85" in="1">
        <tpls c="4">
          <tpl fld="8" item="0"/>
          <tpl fld="9" item="4"/>
          <tpl fld="3" item="20"/>
          <tpl hier="64" item="0"/>
        </tpls>
      </n>
      <n v="60" in="1">
        <tpls c="4">
          <tpl fld="8" item="1"/>
          <tpl fld="9" item="5"/>
          <tpl fld="3" item="91"/>
          <tpl hier="64" item="0"/>
        </tpls>
      </n>
      <n v="38090" in="1">
        <tpls c="4">
          <tpl fld="8" item="0"/>
          <tpl fld="9" item="5"/>
          <tpl fld="3" item="22"/>
          <tpl hier="64" item="0"/>
        </tpls>
      </n>
      <n v="96" in="1">
        <tpls c="4">
          <tpl fld="8" item="1"/>
          <tpl fld="9" item="4"/>
          <tpl fld="3" item="72"/>
          <tpl hier="64" item="0"/>
        </tpls>
      </n>
      <n v="0" in="0">
        <tpls c="4">
          <tpl fld="8" item="1"/>
          <tpl fld="9" item="0"/>
          <tpl fld="3" item="79"/>
          <tpl hier="64" item="0"/>
        </tpls>
      </n>
      <n v="1859" in="1">
        <tpls c="4">
          <tpl fld="8" item="1"/>
          <tpl fld="9" item="4"/>
          <tpl fld="2" item="23"/>
          <tpl hier="64" item="0"/>
        </tpls>
      </n>
      <n v="16" in="1">
        <tpls c="4">
          <tpl fld="8" item="1"/>
          <tpl fld="9" item="4"/>
          <tpl fld="3" item="19"/>
          <tpl hier="64" item="0"/>
        </tpls>
      </n>
      <n v="0" in="0">
        <tpls c="4">
          <tpl fld="8" item="1"/>
          <tpl fld="9" item="1"/>
          <tpl fld="3" item="50"/>
          <tpl hier="64" item="0"/>
        </tpls>
      </n>
      <n v="37" in="1">
        <tpls c="4">
          <tpl fld="8" item="1"/>
          <tpl fld="9" item="4"/>
          <tpl fld="3" item="25"/>
          <tpl hier="64" item="0"/>
        </tpls>
      </n>
      <n v="206" in="1">
        <tpls c="4">
          <tpl fld="8" item="0"/>
          <tpl fld="9" item="4"/>
          <tpl fld="3" item="33"/>
          <tpl hier="64" item="0"/>
        </tpls>
      </n>
      <n v="9807377.8399999999" in="0">
        <tpls c="4">
          <tpl fld="8" item="0"/>
          <tpl fld="9" item="1"/>
          <tpl fld="3" item="87"/>
          <tpl hier="64" item="0"/>
        </tpls>
      </n>
      <n v="16089" in="1">
        <tpls c="4">
          <tpl fld="8" item="0"/>
          <tpl fld="9" item="4"/>
          <tpl fld="3" item="73"/>
          <tpl hier="64" item="0"/>
        </tpls>
      </n>
      <n v="2" in="1">
        <tpls c="4">
          <tpl fld="8" item="0"/>
          <tpl fld="9" item="4"/>
          <tpl fld="3" item="18"/>
          <tpl hier="64" item="0"/>
        </tpls>
      </n>
      <n v="0" in="0">
        <tpls c="4">
          <tpl fld="8" item="0"/>
          <tpl fld="9" item="1"/>
          <tpl fld="3" item="26"/>
          <tpl hier="64" item="0"/>
        </tpls>
      </n>
      <n v="802199.77" in="0">
        <tpls c="4">
          <tpl fld="8" item="1"/>
          <tpl fld="9" item="0"/>
          <tpl fld="3" item="95"/>
          <tpl hier="64" item="0"/>
        </tpls>
      </n>
      <n v="41" in="1">
        <tpls c="4">
          <tpl fld="8" item="1"/>
          <tpl fld="9" item="5"/>
          <tpl fld="3" item="50"/>
          <tpl hier="64" item="0"/>
        </tpls>
      </n>
      <n v="12749636.310000002" in="0">
        <tpls c="2">
          <tpl fld="9" item="0"/>
          <tpl fld="3" item="90"/>
        </tpls>
      </n>
      <n v="0" in="0">
        <tpls c="2">
          <tpl fld="9" item="0"/>
          <tpl fld="3" item="1"/>
        </tpls>
      </n>
      <n v="1657237170.789999" in="0">
        <tpls c="2">
          <tpl fld="9" item="0"/>
          <tpl fld="3" item="86"/>
        </tpls>
      </n>
      <n v="539159361.37000012" in="0">
        <tpls c="2">
          <tpl fld="9" item="0"/>
          <tpl fld="3" item="110"/>
        </tpls>
      </n>
      <n v="3598885320.150002" in="0">
        <tpls c="2">
          <tpl fld="9" item="0"/>
          <tpl fld="2" item="4"/>
        </tpls>
      </n>
      <n v="707" in="1">
        <tpls c="4">
          <tpl fld="8" item="0"/>
          <tpl fld="9" item="5"/>
          <tpl fld="3" item="60"/>
          <tpl hier="64" item="0"/>
        </tpls>
      </n>
      <n v="2932" in="1">
        <tpls c="4">
          <tpl fld="8" item="1"/>
          <tpl fld="9" item="5"/>
          <tpl fld="3" item="74"/>
          <tpl hier="64" item="0"/>
        </tpls>
      </n>
      <n v="204893920460.24875" in="0">
        <tpls c="2">
          <tpl fld="9" item="0"/>
          <tpl hier="54" item="4294967295"/>
        </tpls>
      </n>
      <n v="3652893.97" in="0">
        <tpls c="5">
          <tpl fld="4" item="21"/>
          <tpl fld="8" item="1"/>
          <tpl fld="9" item="0"/>
          <tpl hier="60" item="4294967295"/>
          <tpl hier="64" item="0"/>
        </tpls>
      </n>
      <n v="0" in="0">
        <tpls c="5">
          <tpl fld="4" item="1"/>
          <tpl fld="8" item="1"/>
          <tpl fld="9" item="0"/>
          <tpl fld="10" item="0"/>
          <tpl hier="64" item="0"/>
        </tpls>
      </n>
      <n v="167692" in="1">
        <tpls c="5">
          <tpl fld="4" item="11"/>
          <tpl fld="8" item="1"/>
          <tpl fld="9" item="5"/>
          <tpl hier="54" item="4294967295"/>
          <tpl hier="64" item="0"/>
        </tpls>
      </n>
      <n v="249" in="1">
        <tpls c="4">
          <tpl fld="8" item="1"/>
          <tpl fld="9" item="5"/>
          <tpl fld="3" item="59"/>
          <tpl hier="64" item="0"/>
        </tpls>
      </n>
      <n v="2507" in="1">
        <tpls c="4">
          <tpl fld="8" item="1"/>
          <tpl fld="9" item="4"/>
          <tpl fld="3" item="68"/>
          <tpl hier="64" item="0"/>
        </tpls>
      </n>
      <n v="5" in="1">
        <tpls c="4">
          <tpl fld="8" item="1"/>
          <tpl fld="9" item="4"/>
          <tpl fld="3" item="49"/>
          <tpl hier="64" item="0"/>
        </tpls>
      </n>
      <n v="25742957.34" in="0">
        <tpls c="4">
          <tpl fld="8" item="1"/>
          <tpl fld="9" item="0"/>
          <tpl fld="3" item="33"/>
          <tpl hier="64" item="0"/>
        </tpls>
      </n>
      <n v="4281013.84" in="0">
        <tpls c="4">
          <tpl fld="8" item="0"/>
          <tpl fld="9" item="0"/>
          <tpl fld="3" item="45"/>
          <tpl hier="64" item="0"/>
        </tpls>
      </n>
      <n v="1336" in="1">
        <tpls c="4">
          <tpl fld="8" item="1"/>
          <tpl fld="9" item="5"/>
          <tpl fld="3" item="18"/>
          <tpl hier="64" item="0"/>
        </tpls>
      </n>
      <n v="1221" in="1">
        <tpls c="4">
          <tpl fld="8" item="1"/>
          <tpl fld="9" item="4"/>
          <tpl fld="3" item="28"/>
          <tpl hier="64" item="0"/>
        </tpls>
      </n>
      <n v="0" in="0">
        <tpls c="4">
          <tpl fld="8" item="0"/>
          <tpl fld="9" item="0"/>
          <tpl fld="3" item="7"/>
          <tpl hier="64" item="0"/>
        </tpls>
      </n>
      <n v="1800" in="0">
        <tpls c="4">
          <tpl fld="8" item="1"/>
          <tpl fld="9" item="1"/>
          <tpl fld="3" item="83"/>
          <tpl hier="64" item="0"/>
        </tpls>
      </n>
      <n v="0" in="1">
        <tpls c="5">
          <tpl fld="4" item="9"/>
          <tpl fld="8" item="1"/>
          <tpl fld="9" item="5"/>
          <tpl fld="1" item="0"/>
          <tpl hier="64" item="0"/>
        </tpls>
      </n>
      <n v="0" in="1">
        <tpls c="4">
          <tpl fld="8" item="1"/>
          <tpl fld="9" item="4"/>
          <tpl fld="3" item="2"/>
          <tpl hier="64" item="0"/>
        </tpls>
      </n>
      <n v="2414387.6" in="0">
        <tpls c="4">
          <tpl fld="8" item="0"/>
          <tpl fld="9" item="1"/>
          <tpl fld="3" item="21"/>
          <tpl hier="64" item="0"/>
        </tpls>
      </n>
      <n v="79459.73" in="0">
        <tpls c="4">
          <tpl fld="8" item="1"/>
          <tpl fld="9" item="0"/>
          <tpl fld="3" item="30"/>
          <tpl hier="64" item="0"/>
        </tpls>
      </n>
      <m>
        <tpls c="5">
          <tpl fld="4" item="18"/>
          <tpl fld="8" item="1"/>
          <tpl fld="9" item="5"/>
          <tpl fld="1" item="0"/>
          <tpl hier="64" item="0"/>
        </tpls>
      </m>
      <n v="0" in="0">
        <tpls c="4">
          <tpl fld="8" item="0"/>
          <tpl fld="9" item="1"/>
          <tpl fld="3" item="1"/>
          <tpl hier="64" item="0"/>
        </tpls>
      </n>
      <n v="15388.31" in="0">
        <tpls c="4">
          <tpl fld="8" item="1"/>
          <tpl fld="9" item="1"/>
          <tpl fld="3" item="81"/>
          <tpl hier="64" item="0"/>
        </tpls>
      </n>
      <n v="7467.89" in="0">
        <tpls c="4">
          <tpl fld="8" item="0"/>
          <tpl fld="9" item="1"/>
          <tpl fld="3" item="60"/>
          <tpl hier="64" item="0"/>
        </tpls>
      </n>
      <n v="511" in="1">
        <tpls c="4">
          <tpl fld="8" item="0"/>
          <tpl fld="9" item="5"/>
          <tpl fld="3" item="41"/>
          <tpl hier="64" item="0"/>
        </tpls>
      </n>
      <n v="35802" in="1">
        <tpls c="5">
          <tpl fld="4" item="25"/>
          <tpl fld="8" item="1"/>
          <tpl fld="9" item="5"/>
          <tpl fld="1" item="1"/>
          <tpl hier="64" item="0"/>
        </tpls>
      </n>
      <n v="295" in="1">
        <tpls c="4">
          <tpl fld="8" item="1"/>
          <tpl fld="9" item="4"/>
          <tpl fld="3" item="104"/>
          <tpl hier="64" item="0"/>
        </tpls>
      </n>
      <n v="323996" in="1">
        <tpls c="5">
          <tpl fld="4" item="13"/>
          <tpl fld="8" item="1"/>
          <tpl fld="9" item="5"/>
          <tpl fld="1" item="1"/>
          <tpl hier="64" item="0"/>
        </tpls>
      </n>
      <n v="18868594.48" in="0">
        <tpls c="4">
          <tpl fld="8" item="1"/>
          <tpl fld="9" item="1"/>
          <tpl fld="3" item="89"/>
          <tpl hier="64" item="0"/>
        </tpls>
      </n>
      <n v="36622" in="1">
        <tpls c="4">
          <tpl fld="8" item="1"/>
          <tpl fld="9" item="5"/>
          <tpl fld="3" item="72"/>
          <tpl hier="64" item="0"/>
        </tpls>
      </n>
      <n v="151570" in="1">
        <tpls c="5">
          <tpl fld="4" item="25"/>
          <tpl fld="8" item="1"/>
          <tpl fld="9" item="5"/>
          <tpl hier="54" item="4294967295"/>
          <tpl hier="64" item="0"/>
        </tpls>
      </n>
      <n v="52474256.890000008" in="0">
        <tpls c="5">
          <tpl fld="4" item="12"/>
          <tpl fld="8" item="1"/>
          <tpl fld="9" item="0"/>
          <tpl fld="10" item="1"/>
          <tpl hier="64" item="0"/>
        </tpls>
      </n>
      <n v="5370772.3999999985" in="0">
        <tpls c="4">
          <tpl fld="8" item="0"/>
          <tpl fld="9" item="0"/>
          <tpl fld="3" item="9"/>
          <tpl hier="64" item="0"/>
        </tpls>
      </n>
      <n v="13826" in="1">
        <tpls c="5">
          <tpl fld="4" item="21"/>
          <tpl fld="8" item="1"/>
          <tpl fld="9" item="5"/>
          <tpl fld="1" item="0"/>
          <tpl hier="64" item="0"/>
        </tpls>
      </n>
      <n v="10230001.960000001" in="0">
        <tpls c="4">
          <tpl fld="8" item="1"/>
          <tpl fld="9" item="0"/>
          <tpl fld="3" item="6"/>
          <tpl hier="64" item="0"/>
        </tpls>
      </n>
      <m>
        <tpls c="5">
          <tpl fld="4" item="24"/>
          <tpl fld="8" item="1"/>
          <tpl fld="9" item="5"/>
          <tpl fld="1" item="1"/>
          <tpl hier="64" item="0"/>
        </tpls>
      </m>
      <n v="27229" in="1">
        <tpls c="4">
          <tpl fld="8" item="1"/>
          <tpl fld="9" item="5"/>
          <tpl fld="3" item="108"/>
          <tpl hier="64" item="0"/>
        </tpls>
      </n>
      <n v="9300" in="1">
        <tpls c="4">
          <tpl fld="8" item="1"/>
          <tpl fld="9" item="4"/>
          <tpl fld="3" item="106"/>
          <tpl hier="64" item="0"/>
        </tpls>
      </n>
      <n v="0" in="0">
        <tpls c="4">
          <tpl fld="8" item="1"/>
          <tpl fld="9" item="1"/>
          <tpl fld="3" item="35"/>
          <tpl hier="64" item="0"/>
        </tpls>
      </n>
      <n v="98" in="1">
        <tpls c="4">
          <tpl fld="8" item="1"/>
          <tpl fld="9" item="5"/>
          <tpl fld="3" item="65"/>
          <tpl hier="64" item="0"/>
        </tpls>
      </n>
      <n v="59854" in="1">
        <tpls c="4">
          <tpl fld="8" item="0"/>
          <tpl fld="9" item="5"/>
          <tpl fld="3" item="67"/>
          <tpl hier="64" item="0"/>
        </tpls>
      </n>
      <n v="435.79" in="0">
        <tpls c="4">
          <tpl fld="8" item="0"/>
          <tpl fld="9" item="0"/>
          <tpl fld="3" item="23"/>
          <tpl hier="64" item="0"/>
        </tpls>
      </n>
      <n v="48041" in="1">
        <tpls c="4">
          <tpl fld="8" item="1"/>
          <tpl fld="9" item="4"/>
          <tpl fld="3" item="54"/>
          <tpl hier="64" item="0"/>
        </tpls>
      </n>
      <n v="509741" in="1">
        <tpls c="4">
          <tpl fld="8" item="0"/>
          <tpl fld="9" item="5"/>
          <tpl fld="3" item="84"/>
          <tpl hier="64" item="0"/>
        </tpls>
      </n>
      <n v="0" in="1">
        <tpls c="4">
          <tpl fld="8" item="1"/>
          <tpl fld="9" item="4"/>
          <tpl fld="3" item="102"/>
          <tpl hier="64" item="0"/>
        </tpls>
      </n>
      <n v="3322.04" in="0">
        <tpls c="4">
          <tpl fld="8" item="1"/>
          <tpl fld="9" item="0"/>
          <tpl fld="3" item="12"/>
          <tpl hier="64" item="0"/>
        </tpls>
      </n>
      <n v="95" in="1">
        <tpls c="4">
          <tpl fld="8" item="0"/>
          <tpl fld="9" item="4"/>
          <tpl fld="3" item="72"/>
          <tpl hier="64" item="0"/>
        </tpls>
      </n>
      <n v="744" in="1">
        <tpls c="4">
          <tpl fld="8" item="1"/>
          <tpl fld="9" item="5"/>
          <tpl fld="3" item="49"/>
          <tpl hier="64" item="0"/>
        </tpls>
      </n>
      <n v="638428.51" in="0">
        <tpls c="4">
          <tpl fld="8" item="1"/>
          <tpl fld="9" item="1"/>
          <tpl fld="3" item="25"/>
          <tpl hier="64" item="0"/>
        </tpls>
      </n>
      <n v="1" in="1">
        <tpls c="4">
          <tpl fld="8" item="1"/>
          <tpl fld="9" item="5"/>
          <tpl fld="3" item="26"/>
          <tpl hier="64" item="0"/>
        </tpls>
      </n>
      <n v="767381.5" in="0">
        <tpls c="4">
          <tpl fld="8" item="1"/>
          <tpl fld="9" item="0"/>
          <tpl fld="3" item="62"/>
          <tpl hier="64" item="0"/>
        </tpls>
      </n>
      <n v="0" in="1">
        <tpls c="4">
          <tpl fld="8" item="0"/>
          <tpl fld="9" item="4"/>
          <tpl fld="3" item="13"/>
          <tpl hier="64" item="0"/>
        </tpls>
      </n>
      <n v="20337524.529999997" in="0">
        <tpls c="4">
          <tpl fld="8" item="1"/>
          <tpl fld="9" item="1"/>
          <tpl fld="3" item="42"/>
          <tpl hier="64" item="0"/>
        </tpls>
      </n>
      <n v="11" in="1">
        <tpls c="4">
          <tpl fld="8" item="0"/>
          <tpl fld="9" item="4"/>
          <tpl fld="3" item="15"/>
          <tpl hier="64" item="0"/>
        </tpls>
      </n>
      <n v="38228571.859999999" in="0">
        <tpls c="5">
          <tpl fld="4" item="25"/>
          <tpl fld="8" item="1"/>
          <tpl fld="9" item="0"/>
          <tpl fld="10" item="0"/>
          <tpl hier="64" item="0"/>
        </tpls>
      </n>
      <n v="11840017.5" in="0">
        <tpls c="4">
          <tpl fld="8" item="1"/>
          <tpl fld="9" item="0"/>
          <tpl fld="2" item="2"/>
          <tpl hier="64" item="0"/>
        </tpls>
      </n>
      <m>
        <tpls c="5">
          <tpl fld="4" item="21"/>
          <tpl fld="8" item="1"/>
          <tpl fld="9" item="5"/>
          <tpl fld="1" item="1"/>
          <tpl hier="64" item="0"/>
        </tpls>
      </m>
      <n v="1497002.87" in="0">
        <tpls c="4">
          <tpl fld="8" item="0"/>
          <tpl fld="9" item="0"/>
          <tpl fld="3" item="29"/>
          <tpl hier="64" item="0"/>
        </tpls>
      </n>
      <n v="5" in="1">
        <tpls c="4">
          <tpl fld="8" item="1"/>
          <tpl fld="9" item="4"/>
          <tpl fld="3" item="61"/>
          <tpl hier="64" item="0"/>
        </tpls>
      </n>
      <n v="1401889" in="0">
        <tpls c="4">
          <tpl fld="8" item="0"/>
          <tpl fld="9" item="0"/>
          <tpl fld="3" item="91"/>
          <tpl hier="64" item="0"/>
        </tpls>
      </n>
      <n v="393666683.86000001" in="0">
        <tpls c="4">
          <tpl fld="8" item="1"/>
          <tpl fld="9" item="0"/>
          <tpl fld="3" item="48"/>
          <tpl hier="64" item="0"/>
        </tpls>
      </n>
      <n v="0" in="0">
        <tpls c="4">
          <tpl fld="8" item="1"/>
          <tpl fld="9" item="1"/>
          <tpl fld="3" item="24"/>
          <tpl hier="64" item="0"/>
        </tpls>
      </n>
      <n v="461452.70000000007" in="0">
        <tpls c="4">
          <tpl fld="8" item="0"/>
          <tpl fld="9" item="1"/>
          <tpl fld="3" item="53"/>
          <tpl hier="64" item="0"/>
        </tpls>
      </n>
      <n v="818241.82999999984" in="0">
        <tpls c="4">
          <tpl fld="8" item="0"/>
          <tpl fld="9" item="0"/>
          <tpl fld="3" item="62"/>
          <tpl hier="64" item="0"/>
        </tpls>
      </n>
      <n v="0" in="0">
        <tpls c="4">
          <tpl fld="8" item="0"/>
          <tpl fld="9" item="1"/>
          <tpl fld="3" item="4"/>
          <tpl hier="64" item="0"/>
        </tpls>
      </n>
      <n v="517600.11" in="0">
        <tpls c="4">
          <tpl fld="8" item="1"/>
          <tpl fld="9" item="1"/>
          <tpl fld="3" item="111"/>
          <tpl hier="64" item="0"/>
        </tpls>
      </n>
      <n v="112385.18" in="0">
        <tpls c="4">
          <tpl fld="8" item="0"/>
          <tpl fld="9" item="0"/>
          <tpl fld="3" item="85"/>
          <tpl hier="64" item="0"/>
        </tpls>
      </n>
      <m>
        <tpls c="5">
          <tpl fld="4" item="17"/>
          <tpl fld="8" item="1"/>
          <tpl fld="9" item="5"/>
          <tpl fld="1" item="0"/>
          <tpl hier="64" item="0"/>
        </tpls>
      </m>
      <n v="55871" in="1">
        <tpls c="4">
          <tpl fld="8" item="1"/>
          <tpl fld="9" item="5"/>
          <tpl fld="3" item="67"/>
          <tpl hier="64" item="0"/>
        </tpls>
      </n>
      <n v="425" in="1">
        <tpls c="4">
          <tpl fld="8" item="0"/>
          <tpl fld="9" item="4"/>
          <tpl fld="3" item="92"/>
          <tpl hier="64" item="0"/>
        </tpls>
      </n>
      <n v="0" in="1">
        <tpls c="4">
          <tpl fld="8" item="1"/>
          <tpl fld="9" item="5"/>
          <tpl fld="3" item="38"/>
          <tpl hier="64" item="0"/>
        </tpls>
      </n>
      <n v="33454" in="1">
        <tpls c="4">
          <tpl fld="8" item="1"/>
          <tpl fld="9" item="5"/>
          <tpl fld="3" item="22"/>
          <tpl hier="64" item="0"/>
        </tpls>
      </n>
      <n v="3893" in="1">
        <tpls c="4">
          <tpl fld="8" item="1"/>
          <tpl fld="9" item="5"/>
          <tpl fld="3" item="100"/>
          <tpl hier="64" item="0"/>
        </tpls>
      </n>
      <n v="12" in="1">
        <tpls c="4">
          <tpl fld="8" item="0"/>
          <tpl fld="9" item="4"/>
          <tpl fld="3" item="96"/>
          <tpl hier="64" item="0"/>
        </tpls>
      </n>
      <n v="15328105.480000002" in="0">
        <tpls c="4">
          <tpl fld="8" item="1"/>
          <tpl fld="9" item="1"/>
          <tpl fld="3" item="82"/>
          <tpl hier="64" item="0"/>
        </tpls>
      </n>
      <n v="88025954.090000004" in="0">
        <tpls c="4">
          <tpl fld="8" item="0"/>
          <tpl fld="9" item="1"/>
          <tpl fld="3" item="73"/>
          <tpl hier="64" item="0"/>
        </tpls>
      </n>
      <n v="1139266.1000000001" in="0">
        <tpls c="4">
          <tpl fld="8" item="1"/>
          <tpl fld="9" item="0"/>
          <tpl fld="3" item="50"/>
          <tpl hier="64" item="0"/>
        </tpls>
      </n>
      <n v="2792875" in="0">
        <tpls c="4">
          <tpl fld="8" item="1"/>
          <tpl fld="9" item="0"/>
          <tpl fld="3" item="110"/>
          <tpl hier="64" item="0"/>
        </tpls>
      </n>
      <n v="1420600.96" in="0">
        <tpls c="4">
          <tpl fld="8" item="1"/>
          <tpl fld="9" item="1"/>
          <tpl fld="3" item="29"/>
          <tpl hier="64" item="0"/>
        </tpls>
      </n>
      <n v="317804.64" in="0">
        <tpls c="4">
          <tpl fld="8" item="0"/>
          <tpl fld="9" item="1"/>
          <tpl fld="3" item="78"/>
          <tpl hier="64" item="0"/>
        </tpls>
      </n>
      <n v="804" in="1">
        <tpls c="4">
          <tpl fld="8" item="1"/>
          <tpl fld="9" item="5"/>
          <tpl fld="3" item="99"/>
          <tpl hier="64" item="0"/>
        </tpls>
      </n>
      <n v="26" in="1">
        <tpls c="4">
          <tpl fld="8" item="1"/>
          <tpl fld="9" item="4"/>
          <tpl fld="3" item="39"/>
          <tpl hier="64" item="0"/>
        </tpls>
      </n>
      <n v="172" in="1">
        <tpls c="4">
          <tpl fld="8" item="1"/>
          <tpl fld="9" item="4"/>
          <tpl fld="3" item="53"/>
          <tpl hier="64" item="0"/>
        </tpls>
      </n>
      <n v="0" in="1">
        <tpls c="4">
          <tpl fld="8" item="1"/>
          <tpl fld="9" item="4"/>
          <tpl fld="3" item="13"/>
          <tpl hier="64" item="0"/>
        </tpls>
      </n>
      <n v="6784283.9199999999" in="0">
        <tpls c="4">
          <tpl fld="8" item="1"/>
          <tpl fld="9" item="1"/>
          <tpl fld="3" item="0"/>
          <tpl hier="64" item="0"/>
        </tpls>
      </n>
      <n v="102736689.23" in="0">
        <tpls c="4">
          <tpl fld="8" item="1"/>
          <tpl fld="9" item="0"/>
          <tpl fld="3" item="73"/>
          <tpl hier="64" item="0"/>
        </tpls>
      </n>
      <n v="1582352.65" in="0">
        <tpls c="4">
          <tpl fld="8" item="0"/>
          <tpl fld="9" item="1"/>
          <tpl fld="3" item="86"/>
          <tpl hier="64" item="0"/>
        </tpls>
      </n>
      <n v="4376386.03" in="0">
        <tpls c="4">
          <tpl fld="8" item="1"/>
          <tpl fld="9" item="0"/>
          <tpl fld="3" item="41"/>
          <tpl hier="64" item="0"/>
        </tpls>
      </n>
      <n v="699328.60000000009" in="0">
        <tpls c="4">
          <tpl fld="8" item="1"/>
          <tpl fld="9" item="0"/>
          <tpl fld="3" item="65"/>
          <tpl hier="64" item="0"/>
        </tpls>
      </n>
      <n v="2656008.5299999998" in="0">
        <tpls c="4">
          <tpl fld="8" item="0"/>
          <tpl fld="9" item="0"/>
          <tpl fld="3" item="110"/>
          <tpl hier="64" item="0"/>
        </tpls>
      </n>
      <n v="18" in="1">
        <tpls c="4">
          <tpl fld="8" item="0"/>
          <tpl fld="9" item="5"/>
          <tpl fld="3" item="15"/>
          <tpl hier="64" item="0"/>
        </tpls>
      </n>
      <n v="2070" in="1">
        <tpls c="4">
          <tpl fld="8" item="0"/>
          <tpl fld="9" item="5"/>
          <tpl fld="3" item="11"/>
          <tpl hier="64" item="0"/>
        </tpls>
      </n>
      <m>
        <tpls c="5">
          <tpl fld="4" item="24"/>
          <tpl fld="8" item="1"/>
          <tpl fld="9" item="0"/>
          <tpl fld="10" item="1"/>
          <tpl hier="64" item="0"/>
        </tpls>
      </m>
      <n v="184686.63000000003" in="0">
        <tpls c="4">
          <tpl fld="8" item="1"/>
          <tpl fld="9" item="0"/>
          <tpl fld="3" item="56"/>
          <tpl hier="64" item="0"/>
        </tpls>
      </n>
      <n v="26438" in="1">
        <tpls c="4">
          <tpl fld="8" item="0"/>
          <tpl fld="9" item="5"/>
          <tpl fld="3" item="82"/>
          <tpl hier="64" item="0"/>
        </tpls>
      </n>
      <n v="7795937.4700000016" in="0">
        <tpls c="4">
          <tpl fld="8" item="0"/>
          <tpl fld="9" item="0"/>
          <tpl fld="3" item="74"/>
          <tpl hier="64" item="0"/>
        </tpls>
      </n>
      <n v="17071405.990000002" in="0">
        <tpls c="4">
          <tpl fld="8" item="1"/>
          <tpl fld="9" item="0"/>
          <tpl fld="3" item="60"/>
          <tpl hier="64" item="0"/>
        </tpls>
      </n>
      <n v="1" in="1">
        <tpls c="4">
          <tpl fld="8" item="0"/>
          <tpl fld="9" item="5"/>
          <tpl fld="3" item="51"/>
          <tpl hier="64" item="0"/>
        </tpls>
      </n>
      <n v="834" in="1">
        <tpls c="4">
          <tpl fld="8" item="1"/>
          <tpl fld="9" item="5"/>
          <tpl fld="3" item="66"/>
          <tpl hier="64" item="0"/>
        </tpls>
      </n>
      <n v="49947.5" in="0">
        <tpls c="4">
          <tpl fld="8" item="0"/>
          <tpl fld="9" item="1"/>
          <tpl fld="3" item="11"/>
          <tpl hier="64" item="0"/>
        </tpls>
      </n>
      <n v="275" in="1">
        <tpls c="4">
          <tpl fld="8" item="0"/>
          <tpl fld="9" item="4"/>
          <tpl fld="3" item="22"/>
          <tpl hier="64" item="0"/>
        </tpls>
      </n>
      <n v="156822" in="1">
        <tpls c="4">
          <tpl fld="8" item="0"/>
          <tpl fld="9" item="5"/>
          <tpl fld="3" item="86"/>
          <tpl hier="64" item="0"/>
        </tpls>
      </n>
      <n v="3075.45" in="0">
        <tpls c="4">
          <tpl fld="8" item="0"/>
          <tpl fld="9" item="0"/>
          <tpl fld="3" item="47"/>
          <tpl hier="64" item="0"/>
        </tpls>
      </n>
      <n v="0" in="0">
        <tpls c="4">
          <tpl fld="8" item="1"/>
          <tpl fld="9" item="1"/>
          <tpl fld="3" item="88"/>
          <tpl hier="64" item="0"/>
        </tpls>
      </n>
      <n v="4556" in="1">
        <tpls c="4">
          <tpl fld="8" item="1"/>
          <tpl fld="9" item="4"/>
          <tpl fld="3" item="101"/>
          <tpl hier="64" item="0"/>
        </tpls>
      </n>
      <n v="68166.91" in="0">
        <tpls c="4">
          <tpl fld="8" item="0"/>
          <tpl fld="9" item="0"/>
          <tpl fld="3" item="31"/>
          <tpl hier="64" item="0"/>
        </tpls>
      </n>
      <n v="2077846721.2800007" in="0">
        <tpls c="2">
          <tpl fld="9" item="0"/>
          <tpl fld="3" item="104"/>
        </tpls>
      </n>
      <n v="875047101.05000043" in="0">
        <tpls c="2">
          <tpl fld="9" item="0"/>
          <tpl fld="2" item="21"/>
        </tpls>
      </n>
      <n v="0" in="0">
        <tpls c="2">
          <tpl fld="9" item="0"/>
          <tpl fld="3" item="4"/>
        </tpls>
      </n>
      <n v="1683740608.48" in="0">
        <tpls c="2">
          <tpl fld="9" item="0"/>
          <tpl fld="3" item="22"/>
        </tpls>
      </n>
      <n v="0" in="1">
        <tpls c="4">
          <tpl fld="8" item="1"/>
          <tpl fld="9" item="4"/>
          <tpl fld="3" item="107"/>
          <tpl hier="64" item="0"/>
        </tpls>
      </n>
      <n v="722" in="1">
        <tpls c="4">
          <tpl fld="8" item="0"/>
          <tpl fld="9" item="5"/>
          <tpl fld="3" item="49"/>
          <tpl hier="64" item="0"/>
        </tpls>
      </n>
      <n v="5661764.9800000004" in="0">
        <tpls c="4">
          <tpl fld="8" item="1"/>
          <tpl fld="9" item="1"/>
          <tpl fld="3" item="32"/>
          <tpl hier="64" item="0"/>
        </tpls>
      </n>
      <n v="92" in="1">
        <tpls c="4">
          <tpl fld="8" item="0"/>
          <tpl fld="9" item="4"/>
          <tpl fld="3" item="39"/>
          <tpl hier="64" item="0"/>
        </tpls>
      </n>
      <n v="1022130.6300000001" in="0">
        <tpls c="4">
          <tpl fld="8" item="1"/>
          <tpl fld="9" item="0"/>
          <tpl fld="3" item="52"/>
          <tpl hier="64" item="0"/>
        </tpls>
      </n>
      <n v="49" in="1">
        <tpls c="4">
          <tpl fld="8" item="1"/>
          <tpl fld="9" item="5"/>
          <tpl fld="3" item="56"/>
          <tpl hier="64" item="0"/>
        </tpls>
      </n>
      <n v="326243044.30000043" in="0">
        <tpls c="2">
          <tpl fld="9" item="0"/>
          <tpl fld="2" item="17"/>
        </tpls>
      </n>
      <n v="105733741.20999998" in="0">
        <tpls c="2">
          <tpl fld="9" item="0"/>
          <tpl fld="2" item="19"/>
        </tpls>
      </n>
      <n v="16976561" in="1">
        <tpls c="1">
          <tpl fld="9" item="4"/>
        </tpls>
      </n>
      <n v="0" in="1">
        <tpls c="4">
          <tpl fld="8" item="0"/>
          <tpl fld="9" item="4"/>
          <tpl fld="3" item="47"/>
          <tpl hier="64" item="0"/>
        </tpls>
      </n>
      <n v="136807" in="1">
        <tpls c="5">
          <tpl fld="4" item="14"/>
          <tpl fld="8" item="1"/>
          <tpl fld="9" item="5"/>
          <tpl hier="54" item="4294967295"/>
          <tpl hier="64" item="0"/>
        </tpls>
      </n>
      <n v="0" in="0">
        <tpls c="4">
          <tpl fld="8" item="0"/>
          <tpl fld="9" item="1"/>
          <tpl fld="3" item="2"/>
          <tpl hier="64" item="0"/>
        </tpls>
      </n>
      <n v="0" in="0">
        <tpls c="4">
          <tpl fld="8" item="1"/>
          <tpl fld="9" item="0"/>
          <tpl fld="3" item="1"/>
          <tpl hier="64" item="0"/>
        </tpls>
      </n>
      <n v="0" in="1">
        <tpls c="4">
          <tpl fld="8" item="1"/>
          <tpl fld="9" item="4"/>
          <tpl fld="3" item="70"/>
          <tpl hier="64" item="0"/>
        </tpls>
      </n>
      <n v="0" in="1">
        <tpls c="4">
          <tpl fld="8" item="0"/>
          <tpl fld="9" item="4"/>
          <tpl fld="3" item="103"/>
          <tpl hier="64" item="0"/>
        </tpls>
      </n>
      <n v="9898" in="1">
        <tpls c="4">
          <tpl fld="8" item="0"/>
          <tpl fld="9" item="4"/>
          <tpl fld="3" item="106"/>
          <tpl hier="64" item="0"/>
        </tpls>
      </n>
      <n v="3626683.2199999997" in="0">
        <tpls c="4">
          <tpl fld="8" item="0"/>
          <tpl fld="9" item="0"/>
          <tpl fld="3" item="19"/>
          <tpl hier="64" item="0"/>
        </tpls>
      </n>
      <n v="0" in="0">
        <tpls c="4">
          <tpl fld="8" item="0"/>
          <tpl fld="9" item="1"/>
          <tpl fld="3" item="35"/>
          <tpl hier="64" item="0"/>
        </tpls>
      </n>
      <n v="17" in="1">
        <tpls c="4">
          <tpl fld="8" item="0"/>
          <tpl fld="9" item="5"/>
          <tpl fld="3" item="52"/>
          <tpl hier="64" item="0"/>
        </tpls>
      </n>
      <m>
        <tpls c="5">
          <tpl fld="4" item="20"/>
          <tpl fld="8" item="1"/>
          <tpl fld="9" item="5"/>
          <tpl fld="1" item="0"/>
          <tpl hier="64" item="0"/>
        </tpls>
      </m>
      <n v="136704" in="1">
        <tpls c="4">
          <tpl fld="8" item="1"/>
          <tpl fld="9" item="4"/>
          <tpl fld="1" item="1"/>
          <tpl hier="64" item="0"/>
        </tpls>
      </n>
      <n v="0" in="1">
        <tpls c="5">
          <tpl fld="4" item="1"/>
          <tpl fld="8" item="1"/>
          <tpl fld="9" item="5"/>
          <tpl fld="1" item="0"/>
          <tpl hier="64" item="0"/>
        </tpls>
      </n>
      <n v="507978.35" in="0">
        <tpls c="4">
          <tpl fld="8" item="1"/>
          <tpl fld="9" item="0"/>
          <tpl fld="3" item="102"/>
          <tpl hier="64" item="0"/>
        </tpls>
      </n>
      <n v="64912626.289999992" in="0">
        <tpls c="5">
          <tpl fld="4" item="14"/>
          <tpl fld="8" item="1"/>
          <tpl fld="9" item="0"/>
          <tpl hier="60" item="4294967295"/>
          <tpl hier="64" item="0"/>
        </tpls>
      </n>
      <n v="0" in="1">
        <tpls c="4">
          <tpl fld="8" item="1"/>
          <tpl fld="9" item="5"/>
          <tpl fld="3" item="107"/>
          <tpl hier="64" item="0"/>
        </tpls>
      </n>
      <n v="11646" in="1">
        <tpls c="4">
          <tpl fld="8" item="1"/>
          <tpl fld="9" item="5"/>
          <tpl fld="3" item="10"/>
          <tpl hier="64" item="0"/>
        </tpls>
      </n>
      <n v="14688" in="1">
        <tpls c="5">
          <tpl fld="4" item="8"/>
          <tpl fld="8" item="1"/>
          <tpl fld="9" item="5"/>
          <tpl hier="54" item="4294967295"/>
          <tpl hier="64" item="0"/>
        </tpls>
      </n>
      <n v="1" in="1">
        <tpls c="4">
          <tpl fld="8" item="1"/>
          <tpl fld="9" item="4"/>
          <tpl fld="3" item="18"/>
          <tpl hier="64" item="0"/>
        </tpls>
      </n>
      <n v="12308" in="1">
        <tpls c="4">
          <tpl fld="8" item="1"/>
          <tpl fld="9" item="4"/>
          <tpl fld="3" item="48"/>
          <tpl hier="64" item="0"/>
        </tpls>
      </n>
      <n v="0" in="1">
        <tpls c="4">
          <tpl fld="8" item="0"/>
          <tpl fld="9" item="5"/>
          <tpl fld="3" item="35"/>
          <tpl hier="64" item="0"/>
        </tpls>
      </n>
      <n v="450112.64000000007" in="0">
        <tpls c="4">
          <tpl fld="8" item="0"/>
          <tpl fld="9" item="1"/>
          <tpl fld="3" item="111"/>
          <tpl hier="64" item="0"/>
        </tpls>
      </n>
      <n v="24054616.48" in="0">
        <tpls c="4">
          <tpl fld="8" item="0"/>
          <tpl fld="9" item="0"/>
          <tpl fld="3" item="58"/>
          <tpl hier="64" item="0"/>
        </tpls>
      </n>
      <n v="4027436.29" in="0">
        <tpls c="4">
          <tpl fld="8" item="0"/>
          <tpl fld="9" item="1"/>
          <tpl fld="3" item="74"/>
          <tpl hier="64" item="0"/>
        </tpls>
      </n>
      <n v="266357.17" in="0">
        <tpls c="4">
          <tpl fld="8" item="0"/>
          <tpl fld="9" item="1"/>
          <tpl fld="3" item="40"/>
          <tpl hier="64" item="0"/>
        </tpls>
      </n>
      <n v="102687.45999999999" in="0">
        <tpls c="4">
          <tpl fld="8" item="0"/>
          <tpl fld="9" item="0"/>
          <tpl fld="3" item="97"/>
          <tpl hier="64" item="0"/>
        </tpls>
      </n>
      <n v="111" in="1">
        <tpls c="4">
          <tpl fld="8" item="0"/>
          <tpl fld="9" item="5"/>
          <tpl fld="3" item="29"/>
          <tpl hier="64" item="0"/>
        </tpls>
      </n>
      <n v="261566.71999999997" in="0">
        <tpls c="4">
          <tpl fld="8" item="1"/>
          <tpl fld="9" item="1"/>
          <tpl fld="3" item="63"/>
          <tpl hier="64" item="0"/>
        </tpls>
      </n>
      <n v="95499163.299999982" in="0">
        <tpls c="4">
          <tpl fld="8" item="1"/>
          <tpl fld="9" item="0"/>
          <tpl fld="3" item="101"/>
          <tpl hier="64" item="0"/>
        </tpls>
      </n>
      <n v="41" in="1">
        <tpls c="4">
          <tpl fld="8" item="0"/>
          <tpl fld="9" item="5"/>
          <tpl fld="3" item="50"/>
          <tpl hier="64" item="0"/>
        </tpls>
      </n>
      <n v="21551203.039999999" in="0">
        <tpls c="4">
          <tpl fld="8" item="0"/>
          <tpl fld="9" item="0"/>
          <tpl fld="3" item="92"/>
          <tpl hier="64" item="0"/>
        </tpls>
      </n>
      <n v="28557" in="1">
        <tpls c="5">
          <tpl fld="4" item="16"/>
          <tpl fld="8" item="1"/>
          <tpl fld="9" item="5"/>
          <tpl fld="1" item="1"/>
          <tpl hier="64" item="0"/>
        </tpls>
      </n>
      <n v="16431556.4" in="0">
        <tpls c="4">
          <tpl fld="8" item="0"/>
          <tpl fld="9" item="1"/>
          <tpl fld="3" item="93"/>
          <tpl hier="64" item="0"/>
        </tpls>
      </n>
      <n v="423077.84" in="0">
        <tpls c="4">
          <tpl fld="8" item="1"/>
          <tpl fld="9" item="0"/>
          <tpl fld="3" item="28"/>
          <tpl hier="64" item="0"/>
        </tpls>
      </n>
      <n v="10589.56" in="0">
        <tpls c="4">
          <tpl fld="8" item="0"/>
          <tpl fld="9" item="0"/>
          <tpl fld="3" item="107"/>
          <tpl hier="64" item="0"/>
        </tpls>
      </n>
      <n v="78365" in="1">
        <tpls c="4">
          <tpl fld="8" item="0"/>
          <tpl fld="9" item="5"/>
          <tpl fld="3" item="101"/>
          <tpl hier="64" item="0"/>
        </tpls>
      </n>
      <n v="33" in="1">
        <tpls c="4">
          <tpl fld="8" item="0"/>
          <tpl fld="9" item="4"/>
          <tpl fld="3" item="5"/>
          <tpl hier="64" item="0"/>
        </tpls>
      </n>
      <n v="2317880.4699999997" in="0">
        <tpls c="4">
          <tpl fld="8" item="1"/>
          <tpl fld="9" item="1"/>
          <tpl fld="3" item="110"/>
          <tpl hier="64" item="0"/>
        </tpls>
      </n>
      <n v="20289" in="1">
        <tpls c="4">
          <tpl fld="8" item="0"/>
          <tpl fld="9" item="5"/>
          <tpl fld="3" item="68"/>
          <tpl hier="64" item="0"/>
        </tpls>
      </n>
      <n v="8" in="1">
        <tpls c="4">
          <tpl fld="8" item="1"/>
          <tpl fld="9" item="4"/>
          <tpl fld="3" item="36"/>
          <tpl hier="64" item="0"/>
        </tpls>
      </n>
      <n v="4006380.6999999997" in="0">
        <tpls c="4">
          <tpl fld="8" item="0"/>
          <tpl fld="9" item="0"/>
          <tpl fld="3" item="49"/>
          <tpl hier="64" item="0"/>
        </tpls>
      </n>
      <n v="886099.2899999998" in="0">
        <tpls c="4">
          <tpl fld="8" item="0"/>
          <tpl fld="9" item="1"/>
          <tpl fld="3" item="59"/>
          <tpl hier="64" item="0"/>
        </tpls>
      </n>
      <n v="4287" in="1">
        <tpls c="4">
          <tpl fld="8" item="1"/>
          <tpl fld="9" item="5"/>
          <tpl fld="3" item="62"/>
          <tpl hier="64" item="0"/>
        </tpls>
      </n>
      <n v="644460.06999999995" in="0">
        <tpls c="4">
          <tpl fld="8" item="1"/>
          <tpl fld="9" item="1"/>
          <tpl fld="3" item="99"/>
          <tpl hier="64" item="0"/>
        </tpls>
      </n>
      <n v="317" in="1">
        <tpls c="4">
          <tpl fld="8" item="0"/>
          <tpl fld="9" item="5"/>
          <tpl fld="3" item="42"/>
          <tpl hier="64" item="0"/>
        </tpls>
      </n>
      <n v="0" in="0">
        <tpls c="4">
          <tpl fld="8" item="1"/>
          <tpl fld="9" item="1"/>
          <tpl fld="3" item="94"/>
          <tpl hier="64" item="0"/>
        </tpls>
      </n>
      <n v="200268.19999999998" in="0">
        <tpls c="4">
          <tpl fld="8" item="0"/>
          <tpl fld="9" item="1"/>
          <tpl fld="3" item="31"/>
          <tpl hier="64" item="0"/>
        </tpls>
      </n>
      <n v="1369" in="1">
        <tpls c="4">
          <tpl fld="8" item="0"/>
          <tpl fld="9" item="4"/>
          <tpl fld="3" item="68"/>
          <tpl hier="64" item="0"/>
        </tpls>
      </n>
      <n v="31183" in="1">
        <tpls c="4">
          <tpl fld="8" item="1"/>
          <tpl fld="9" item="5"/>
          <tpl fld="3" item="82"/>
          <tpl hier="64" item="0"/>
        </tpls>
      </n>
      <n v="0" in="0">
        <tpls c="4">
          <tpl fld="8" item="0"/>
          <tpl fld="9" item="0"/>
          <tpl fld="3" item="71"/>
          <tpl hier="64" item="0"/>
        </tpls>
      </n>
      <n v="818045.66" in="0">
        <tpls c="4">
          <tpl fld="8" item="0"/>
          <tpl fld="9" item="1"/>
          <tpl fld="3" item="66"/>
          <tpl hier="64" item="0"/>
        </tpls>
      </n>
      <n v="0" in="1">
        <tpls c="4">
          <tpl fld="8" item="0"/>
          <tpl fld="9" item="4"/>
          <tpl fld="3" item="81"/>
          <tpl hier="64" item="0"/>
        </tpls>
      </n>
      <n v="610" in="1">
        <tpls c="4">
          <tpl fld="8" item="1"/>
          <tpl fld="9" item="5"/>
          <tpl fld="3" item="60"/>
          <tpl hier="64" item="0"/>
        </tpls>
      </n>
      <n v="1131" in="1">
        <tpls c="4">
          <tpl fld="8" item="0"/>
          <tpl fld="9" item="5"/>
          <tpl fld="3" item="75"/>
          <tpl hier="64" item="0"/>
        </tpls>
      </n>
      <n v="0" in="1">
        <tpls c="4">
          <tpl fld="8" item="0"/>
          <tpl fld="9" item="4"/>
          <tpl fld="3" item="50"/>
          <tpl hier="64" item="0"/>
        </tpls>
      </n>
      <n v="2730826.3" in="0">
        <tpls c="4">
          <tpl fld="8" item="1"/>
          <tpl fld="9" item="0"/>
          <tpl fld="3" item="15"/>
          <tpl hier="64" item="0"/>
        </tpls>
      </n>
      <n v="503721" in="1">
        <tpls c="4">
          <tpl fld="8" item="1"/>
          <tpl fld="9" item="5"/>
          <tpl fld="3" item="92"/>
          <tpl hier="64" item="0"/>
        </tpls>
      </n>
      <n v="6390" in="1">
        <tpls c="4">
          <tpl fld="8" item="1"/>
          <tpl fld="9" item="4"/>
          <tpl fld="3" item="84"/>
          <tpl hier="64" item="0"/>
        </tpls>
      </n>
      <n v="30880" in="1">
        <tpls c="4">
          <tpl fld="8" item="0"/>
          <tpl fld="9" item="5"/>
          <tpl fld="3" item="108"/>
          <tpl hier="64" item="0"/>
        </tpls>
      </n>
      <n v="556739.22" in="0">
        <tpls c="4">
          <tpl fld="8" item="1"/>
          <tpl fld="9" item="1"/>
          <tpl fld="3" item="66"/>
          <tpl hier="64" item="0"/>
        </tpls>
      </n>
      <n v="8491704.7200000007" in="0">
        <tpls c="4">
          <tpl fld="8" item="0"/>
          <tpl fld="9" item="0"/>
          <tpl fld="3" item="46"/>
          <tpl hier="64" item="0"/>
        </tpls>
      </n>
      <n v="25" in="1">
        <tpls c="4">
          <tpl fld="8" item="0"/>
          <tpl fld="9" item="5"/>
          <tpl fld="3" item="16"/>
          <tpl hier="64" item="0"/>
        </tpls>
      </n>
      <n v="442" in="1">
        <tpls c="4">
          <tpl fld="8" item="1"/>
          <tpl fld="9" item="5"/>
          <tpl fld="3" item="42"/>
          <tpl hier="64" item="0"/>
        </tpls>
      </n>
      <n v="9980748.5699999984" in="0">
        <tpls c="4">
          <tpl fld="8" item="1"/>
          <tpl fld="9" item="0"/>
          <tpl fld="3" item="22"/>
          <tpl hier="64" item="0"/>
        </tpls>
      </n>
      <n v="1" in="1">
        <tpls c="4">
          <tpl fld="8" item="1"/>
          <tpl fld="9" item="4"/>
          <tpl fld="3" item="85"/>
          <tpl hier="64" item="0"/>
        </tpls>
      </n>
      <n v="14657.999999999998" in="0">
        <tpls c="4">
          <tpl fld="8" item="1"/>
          <tpl fld="9" item="1"/>
          <tpl fld="3" item="96"/>
          <tpl hier="64" item="0"/>
        </tpls>
      </n>
      <n v="13102203.559999999" in="0">
        <tpls c="4">
          <tpl fld="8" item="0"/>
          <tpl fld="9" item="1"/>
          <tpl fld="3" item="82"/>
          <tpl hier="64" item="0"/>
        </tpls>
      </n>
      <n v="17676563.410000004" in="0">
        <tpls c="4">
          <tpl fld="8" item="0"/>
          <tpl fld="9" item="0"/>
          <tpl fld="3" item="60"/>
          <tpl hier="64" item="0"/>
        </tpls>
      </n>
      <n v="46953" in="1">
        <tpls c="4">
          <tpl fld="8" item="1"/>
          <tpl fld="9" item="5"/>
          <tpl fld="3" item="73"/>
          <tpl hier="64" item="0"/>
        </tpls>
      </n>
      <n v="0" in="0">
        <tpls c="4">
          <tpl fld="8" item="1"/>
          <tpl fld="9" item="1"/>
          <tpl fld="3" item="2"/>
          <tpl hier="64" item="0"/>
        </tpls>
      </n>
      <n v="475" in="1">
        <tpls c="4">
          <tpl fld="8" item="1"/>
          <tpl fld="9" item="4"/>
          <tpl fld="3" item="46"/>
          <tpl hier="64" item="0"/>
        </tpls>
      </n>
      <n v="-6044.68" in="0">
        <tpls c="4">
          <tpl fld="8" item="0"/>
          <tpl fld="9" item="1"/>
          <tpl fld="3" item="50"/>
          <tpl hier="64" item="0"/>
        </tpls>
      </n>
      <n v="86" in="1">
        <tpls c="4">
          <tpl fld="8" item="1"/>
          <tpl fld="9" item="4"/>
          <tpl fld="3" item="20"/>
          <tpl hier="64" item="0"/>
        </tpls>
      </n>
      <n v="1880" in="0">
        <tpls c="4">
          <tpl fld="8" item="1"/>
          <tpl fld="9" item="1"/>
          <tpl fld="3" item="77"/>
          <tpl hier="64" item="0"/>
        </tpls>
      </n>
      <n v="29372770.289999999" in="0">
        <tpls c="4">
          <tpl fld="8" item="1"/>
          <tpl fld="9" item="1"/>
          <tpl fld="3" item="101"/>
          <tpl hier="64" item="0"/>
        </tpls>
      </n>
      <n v="80" in="1">
        <tpls c="4">
          <tpl fld="8" item="1"/>
          <tpl fld="9" item="4"/>
          <tpl fld="3" item="99"/>
          <tpl hier="64" item="0"/>
        </tpls>
      </n>
      <n v="267732" in="1">
        <tpls c="4">
          <tpl fld="8" item="0"/>
          <tpl fld="9" item="5"/>
          <tpl fld="3" item="48"/>
          <tpl hier="64" item="0"/>
        </tpls>
      </n>
      <n v="104" in="1">
        <tpls c="4">
          <tpl fld="8" item="1"/>
          <tpl fld="9" item="4"/>
          <tpl fld="3" item="66"/>
          <tpl hier="64" item="0"/>
        </tpls>
      </n>
      <n v="400748925.56000006" in="0">
        <tpls c="4">
          <tpl fld="8" item="1"/>
          <tpl fld="9" item="0"/>
          <tpl fld="2" item="6"/>
          <tpl hier="64" item="0"/>
        </tpls>
      </n>
      <n v="37699.979999999996" in="0">
        <tpls c="4">
          <tpl fld="8" item="0"/>
          <tpl fld="9" item="1"/>
          <tpl fld="3" item="30"/>
          <tpl hier="64" item="0"/>
        </tpls>
      </n>
      <n v="3" in="1">
        <tpls c="4">
          <tpl fld="8" item="0"/>
          <tpl fld="9" item="4"/>
          <tpl fld="3" item="27"/>
          <tpl hier="64" item="0"/>
        </tpls>
      </n>
      <n v="0" in="1">
        <tpls c="4">
          <tpl fld="8" item="1"/>
          <tpl fld="9" item="5"/>
          <tpl fld="3" item="79"/>
          <tpl hier="64" item="0"/>
        </tpls>
      </n>
      <n v="12837568.810000001" in="0">
        <tpls c="4">
          <tpl fld="8" item="1"/>
          <tpl fld="9" item="0"/>
          <tpl fld="3" item="67"/>
          <tpl hier="64" item="0"/>
        </tpls>
      </n>
      <n v="803036.98" in="0">
        <tpls c="4">
          <tpl fld="8" item="1"/>
          <tpl fld="9" item="0"/>
          <tpl fld="3" item="37"/>
          <tpl hier="64" item="0"/>
        </tpls>
      </n>
      <n v="1315887.25" in="0">
        <tpls c="4">
          <tpl fld="8" item="1"/>
          <tpl fld="9" item="1"/>
          <tpl fld="3" item="33"/>
          <tpl hier="64" item="0"/>
        </tpls>
      </n>
      <n v="1402" in="1">
        <tpls c="4">
          <tpl fld="8" item="0"/>
          <tpl fld="9" item="5"/>
          <tpl fld="3" item="18"/>
          <tpl hier="64" item="0"/>
        </tpls>
      </n>
      <n v="3024548.49" in="0">
        <tpls c="4">
          <tpl fld="8" item="1"/>
          <tpl fld="9" item="0"/>
          <tpl fld="3" item="25"/>
          <tpl hier="64" item="0"/>
        </tpls>
      </n>
      <n v="0" in="0">
        <tpls c="4">
          <tpl fld="8" item="0"/>
          <tpl fld="9" item="0"/>
          <tpl fld="3" item="26"/>
          <tpl hier="64" item="0"/>
        </tpls>
      </n>
      <n v="0" in="1">
        <tpls c="4">
          <tpl fld="8" item="0"/>
          <tpl fld="9" item="5"/>
          <tpl fld="3" item="26"/>
          <tpl hier="64" item="0"/>
        </tpls>
      </n>
      <n v="0" in="0">
        <tpls c="4">
          <tpl fld="8" item="1"/>
          <tpl fld="9" item="1"/>
          <tpl fld="3" item="98"/>
          <tpl hier="64" item="0"/>
        </tpls>
      </n>
      <n v="1842208.37" in="0">
        <tpls c="4">
          <tpl fld="8" item="0"/>
          <tpl fld="9" item="1"/>
          <tpl fld="3" item="65"/>
          <tpl hier="64" item="0"/>
        </tpls>
      </n>
      <n v="7348" in="1">
        <tpls c="4">
          <tpl fld="8" item="0"/>
          <tpl fld="9" item="5"/>
          <tpl fld="3" item="72"/>
          <tpl hier="64" item="0"/>
        </tpls>
      </n>
      <n v="30975" in="1">
        <tpls c="4">
          <tpl fld="8" item="0"/>
          <tpl fld="9" item="5"/>
          <tpl fld="3" item="10"/>
          <tpl hier="64" item="0"/>
        </tpls>
      </n>
      <n v="1934321.63" in="0">
        <tpls c="4">
          <tpl fld="8" item="0"/>
          <tpl fld="9" item="1"/>
          <tpl fld="3" item="15"/>
          <tpl hier="64" item="0"/>
        </tpls>
      </n>
      <n v="10204986.57" in="0">
        <tpls c="4">
          <tpl fld="8" item="0"/>
          <tpl fld="9" item="0"/>
          <tpl fld="3" item="22"/>
          <tpl hier="64" item="0"/>
        </tpls>
      </n>
      <n v="15" in="1">
        <tpls c="4">
          <tpl fld="8" item="1"/>
          <tpl fld="9" item="4"/>
          <tpl fld="3" item="15"/>
          <tpl hier="64" item="0"/>
        </tpls>
      </n>
      <n v="19218506.280000001" in="0">
        <tpls c="4">
          <tpl fld="8" item="1"/>
          <tpl fld="9" item="0"/>
          <tpl fld="3" item="103"/>
          <tpl hier="64" item="0"/>
        </tpls>
      </n>
      <n v="1128" in="1">
        <tpls c="4">
          <tpl fld="8" item="0"/>
          <tpl fld="9" item="5"/>
          <tpl fld="3" item="64"/>
          <tpl hier="64" item="0"/>
        </tpls>
      </n>
      <n v="18923850.140000001" in="0">
        <tpls c="4">
          <tpl fld="8" item="0"/>
          <tpl fld="9" item="1"/>
          <tpl fld="3" item="101"/>
          <tpl hier="64" item="0"/>
        </tpls>
      </n>
      <n v="47" in="1">
        <tpls c="4">
          <tpl fld="8" item="0"/>
          <tpl fld="9" item="5"/>
          <tpl fld="3" item="24"/>
          <tpl hier="64" item="0"/>
        </tpls>
      </n>
      <n v="217.76" in="0">
        <tpls c="4">
          <tpl fld="8" item="1"/>
          <tpl fld="9" item="1"/>
          <tpl fld="3" item="51"/>
          <tpl hier="64" item="0"/>
        </tpls>
      </n>
      <n v="240098.14" in="0">
        <tpls c="4">
          <tpl fld="8" item="0"/>
          <tpl fld="9" item="0"/>
          <tpl fld="3" item="102"/>
          <tpl hier="64" item="0"/>
        </tpls>
      </n>
      <n v="452" in="1">
        <tpls c="4">
          <tpl fld="8" item="0"/>
          <tpl fld="9" item="5"/>
          <tpl fld="3" item="20"/>
          <tpl hier="64" item="0"/>
        </tpls>
      </n>
      <n v="0" in="0">
        <tpls c="4">
          <tpl fld="8" item="0"/>
          <tpl fld="9" item="1"/>
          <tpl fld="3" item="47"/>
          <tpl hier="64" item="0"/>
        </tpls>
      </n>
      <n v="7" in="1">
        <tpls c="4">
          <tpl fld="8" item="1"/>
          <tpl fld="9" item="4"/>
          <tpl fld="3" item="30"/>
          <tpl hier="64" item="0"/>
        </tpls>
      </n>
      <n v="90298.31" in="0">
        <tpls c="4">
          <tpl fld="8" item="0"/>
          <tpl fld="9" item="1"/>
          <tpl fld="3" item="97"/>
          <tpl hier="64" item="0"/>
        </tpls>
      </n>
      <n v="44" in="1">
        <tpls c="4">
          <tpl fld="8" item="0"/>
          <tpl fld="9" item="5"/>
          <tpl fld="3" item="56"/>
          <tpl hier="64" item="0"/>
        </tpls>
      </n>
      <n v="24" in="1">
        <tpls c="4">
          <tpl fld="8" item="0"/>
          <tpl fld="9" item="5"/>
          <tpl fld="3" item="77"/>
          <tpl hier="64" item="0"/>
        </tpls>
      </n>
      <n v="82300.84" in="0">
        <tpls c="4">
          <tpl fld="8" item="1"/>
          <tpl fld="9" item="0"/>
          <tpl fld="3" item="85"/>
          <tpl hier="64" item="0"/>
        </tpls>
      </n>
      <n v="2662935.6199999996" in="0">
        <tpls c="4">
          <tpl fld="8" item="1"/>
          <tpl fld="9" item="1"/>
          <tpl fld="3" item="15"/>
          <tpl hier="64" item="0"/>
        </tpls>
      </n>
      <n v="0" in="1">
        <tpls c="4">
          <tpl fld="8" item="0"/>
          <tpl fld="9" item="4"/>
          <tpl fld="3" item="71"/>
          <tpl hier="64" item="0"/>
        </tpls>
      </n>
      <n v="0" in="0">
        <tpls c="4">
          <tpl fld="8" item="1"/>
          <tpl fld="9" item="0"/>
          <tpl fld="3" item="70"/>
          <tpl hier="64" item="0"/>
        </tpls>
      </n>
      <n v="1299974.8400000001" in="0">
        <tpls c="4">
          <tpl fld="8" item="0"/>
          <tpl fld="9" item="0"/>
          <tpl fld="3" item="13"/>
          <tpl hier="64" item="0"/>
        </tpls>
      </n>
      <n v="0" in="0">
        <tpls c="4">
          <tpl fld="8" item="0"/>
          <tpl fld="9" item="1"/>
          <tpl fld="3" item="13"/>
          <tpl hier="64" item="0"/>
        </tpls>
      </n>
      <n v="190" in="1">
        <tpls c="4">
          <tpl fld="8" item="0"/>
          <tpl fld="9" item="4"/>
          <tpl fld="3" item="62"/>
          <tpl hier="64" item="0"/>
        </tpls>
      </n>
      <n v="415" in="1">
        <tpls c="4">
          <tpl fld="8" item="0"/>
          <tpl fld="9" item="4"/>
          <tpl fld="3" item="6"/>
          <tpl hier="64" item="0"/>
        </tpls>
      </n>
      <n v="4212892.41" in="0">
        <tpls c="4">
          <tpl fld="8" item="1"/>
          <tpl fld="9" item="0"/>
          <tpl fld="3" item="10"/>
          <tpl hier="64" item="0"/>
        </tpls>
      </n>
      <n v="305320939.06" in="0">
        <tpls c="4">
          <tpl fld="8" item="0"/>
          <tpl fld="9" item="0"/>
          <tpl fld="3" item="48"/>
          <tpl hier="64" item="0"/>
        </tpls>
      </n>
      <n v="0" in="0">
        <tpls c="4">
          <tpl fld="8" item="1"/>
          <tpl fld="9" item="0"/>
          <tpl fld="3" item="88"/>
          <tpl hier="64" item="0"/>
        </tpls>
      </n>
      <n v="3004992.9" in="0">
        <tpls c="2">
          <tpl fld="9" item="0"/>
          <tpl fld="3" item="81"/>
        </tpls>
      </n>
      <n v="48376451859.39006" in="0">
        <tpls c="2">
          <tpl fld="9" item="0"/>
          <tpl fld="2" item="16"/>
        </tpls>
      </n>
      <n v="242851180.38999993" in="0">
        <tpls c="2">
          <tpl fld="9" item="0"/>
          <tpl fld="3" item="53"/>
        </tpls>
      </n>
      <n v="73313530.469999999" in="0">
        <tpls c="2">
          <tpl fld="9" item="0"/>
          <tpl fld="2" item="8"/>
        </tpls>
      </n>
      <n v="11572012113.75997" in="0">
        <tpls c="2">
          <tpl fld="9" item="0"/>
          <tpl fld="2" item="5"/>
        </tpls>
      </n>
      <n v="10" in="1">
        <tpls c="4">
          <tpl fld="8" item="0"/>
          <tpl fld="9" item="5"/>
          <tpl fld="3" item="43"/>
          <tpl hier="64" item="0"/>
        </tpls>
      </n>
      <n v="178942285" in="1">
        <tpls c="1">
          <tpl fld="9" item="5"/>
        </tpls>
      </n>
      <n v="164639" in="1">
        <tpls c="5">
          <tpl fld="4" item="9"/>
          <tpl fld="8" item="1"/>
          <tpl fld="9" item="5"/>
          <tpl fld="1" item="1"/>
          <tpl hier="64" item="0"/>
        </tpls>
      </n>
      <n v="141474" in="1">
        <tpls c="5">
          <tpl fld="4" item="19"/>
          <tpl fld="8" item="1"/>
          <tpl fld="9" item="5"/>
          <tpl fld="1" item="0"/>
          <tpl hier="64" item="0"/>
        </tpls>
      </n>
      <n v="841522.29" in="0">
        <tpls c="4">
          <tpl fld="8" item="1"/>
          <tpl fld="9" item="0"/>
          <tpl fld="3" item="29"/>
          <tpl hier="64" item="0"/>
        </tpls>
      </n>
      <n v="0" in="1">
        <tpls c="4">
          <tpl fld="8" item="0"/>
          <tpl fld="9" item="4"/>
          <tpl fld="3" item="35"/>
          <tpl hier="64" item="0"/>
        </tpls>
      </n>
      <n v="630612.6100000001" in="0">
        <tpls c="4">
          <tpl fld="8" item="1"/>
          <tpl fld="9" item="1"/>
          <tpl fld="3" item="14"/>
          <tpl hier="64" item="0"/>
        </tpls>
      </n>
      <n v="12" in="1">
        <tpls c="4">
          <tpl fld="8" item="0"/>
          <tpl fld="9" item="4"/>
          <tpl fld="3" item="65"/>
          <tpl hier="64" item="0"/>
        </tpls>
      </n>
      <n v="1" in="1">
        <tpls c="4">
          <tpl fld="8" item="1"/>
          <tpl fld="9" item="4"/>
          <tpl fld="3" item="95"/>
          <tpl hier="64" item="0"/>
        </tpls>
      </n>
      <n v="45" in="1">
        <tpls c="4">
          <tpl fld="8" item="1"/>
          <tpl fld="9" item="4"/>
          <tpl fld="3" item="5"/>
          <tpl hier="64" item="0"/>
        </tpls>
      </n>
      <n v="331845" in="1">
        <tpls c="4">
          <tpl fld="8" item="1"/>
          <tpl fld="9" item="5"/>
          <tpl fld="2" item="5"/>
          <tpl hier="64" item="0"/>
        </tpls>
      </n>
      <n v="0" in="1">
        <tpls c="4">
          <tpl fld="8" item="1"/>
          <tpl fld="9" item="4"/>
          <tpl fld="3" item="94"/>
          <tpl hier="64" item="0"/>
        </tpls>
      </n>
      <n v="4725" in="1">
        <tpls c="4">
          <tpl fld="8" item="1"/>
          <tpl fld="9" item="5"/>
          <tpl fld="3" item="44"/>
          <tpl hier="64" item="0"/>
        </tpls>
      </n>
      <n v="13621891.530000001" in="0">
        <tpls c="4">
          <tpl fld="8" item="0"/>
          <tpl fld="9" item="0"/>
          <tpl fld="3" item="3"/>
          <tpl hier="64" item="0"/>
        </tpls>
      </n>
      <n v="1" in="1">
        <tpls c="4">
          <tpl fld="8" item="1"/>
          <tpl fld="9" item="5"/>
          <tpl fld="3" item="30"/>
          <tpl hier="64" item="0"/>
        </tpls>
      </n>
      <n v="70705" in="1">
        <tpls c="5">
          <tpl fld="4" item="5"/>
          <tpl fld="8" item="1"/>
          <tpl fld="9" item="5"/>
          <tpl fld="1" item="0"/>
          <tpl hier="64" item="0"/>
        </tpls>
      </n>
      <n v="36846" in="1">
        <tpls c="4">
          <tpl fld="8" item="1"/>
          <tpl fld="9" item="5"/>
          <tpl fld="2" item="15"/>
          <tpl hier="64" item="0"/>
        </tpls>
      </n>
      <n v="47306000.609999999" in="0">
        <tpls c="5">
          <tpl fld="4" item="11"/>
          <tpl fld="8" item="1"/>
          <tpl fld="9" item="0"/>
          <tpl fld="10" item="1"/>
          <tpl hier="64" item="0"/>
        </tpls>
      </n>
      <n v="1092500.93" in="0">
        <tpls c="4">
          <tpl fld="8" item="1"/>
          <tpl fld="9" item="0"/>
          <tpl fld="3" item="91"/>
          <tpl hier="64" item="0"/>
        </tpls>
      </n>
      <n v="0" in="1">
        <tpls c="4">
          <tpl fld="8" item="1"/>
          <tpl fld="9" item="4"/>
          <tpl fld="3" item="35"/>
          <tpl hier="64" item="0"/>
        </tpls>
      </n>
      <n v="153519093.06999999" in="0">
        <tpls c="5">
          <tpl fld="4" item="2"/>
          <tpl fld="8" item="1"/>
          <tpl fld="9" item="0"/>
          <tpl fld="10" item="1"/>
          <tpl hier="64" item="0"/>
        </tpls>
      </n>
      <n v="0" in="1">
        <tpls c="4">
          <tpl fld="8" item="0"/>
          <tpl fld="9" item="5"/>
          <tpl fld="3" item="2"/>
          <tpl hier="64" item="0"/>
        </tpls>
      </n>
      <n v="62571" in="1">
        <tpls c="4">
          <tpl fld="8" item="0"/>
          <tpl fld="9" item="5"/>
          <tpl fld="3" item="39"/>
          <tpl hier="64" item="0"/>
        </tpls>
      </n>
      <n v="1052492.97" in="0">
        <tpls c="4">
          <tpl fld="8" item="1"/>
          <tpl fld="9" item="0"/>
          <tpl fld="3" item="66"/>
          <tpl hier="64" item="0"/>
        </tpls>
      </n>
      <n v="48136" in="1">
        <tpls c="4">
          <tpl fld="8" item="1"/>
          <tpl fld="9" item="5"/>
          <tpl fld="2" item="10"/>
          <tpl hier="64" item="0"/>
        </tpls>
      </n>
      <n v="27" in="1">
        <tpls c="4">
          <tpl fld="8" item="1"/>
          <tpl fld="9" item="5"/>
          <tpl fld="3" item="19"/>
          <tpl hier="64" item="0"/>
        </tpls>
      </n>
      <n v="17391619.199999999" in="0">
        <tpls c="4">
          <tpl fld="8" item="0"/>
          <tpl fld="9" item="1"/>
          <tpl fld="3" item="89"/>
          <tpl hier="64" item="0"/>
        </tpls>
      </n>
      <n v="0" in="0">
        <tpls c="5">
          <tpl fld="4" item="3"/>
          <tpl fld="8" item="1"/>
          <tpl fld="9" item="0"/>
          <tpl fld="10" item="1"/>
          <tpl hier="64" item="0"/>
        </tpls>
      </n>
      <n v="1069843.6400000001" in="0">
        <tpls c="4">
          <tpl fld="8" item="1"/>
          <tpl fld="9" item="0"/>
          <tpl fld="3" item="5"/>
          <tpl hier="64" item="0"/>
        </tpls>
      </n>
      <n v="1441035" in="1">
        <tpls c="4">
          <tpl fld="8" item="1"/>
          <tpl fld="9" item="5"/>
          <tpl fld="1" item="0"/>
          <tpl hier="64" item="0"/>
        </tpls>
      </n>
      <n v="1445749.49" in="0">
        <tpls c="4">
          <tpl fld="8" item="1"/>
          <tpl fld="9" item="1"/>
          <tpl fld="3" item="80"/>
          <tpl hier="64" item="0"/>
        </tpls>
      </n>
      <n v="2315579.34" in="0">
        <tpls c="4">
          <tpl fld="8" item="1"/>
          <tpl fld="9" item="1"/>
          <tpl fld="3" item="58"/>
          <tpl hier="64" item="0"/>
        </tpls>
      </n>
      <n v="0" in="1">
        <tpls c="4">
          <tpl fld="8" item="0"/>
          <tpl fld="9" item="4"/>
          <tpl fld="3" item="7"/>
          <tpl hier="64" item="0"/>
        </tpls>
      </n>
      <n v="0" in="1">
        <tpls c="4">
          <tpl fld="8" item="0"/>
          <tpl fld="9" item="4"/>
          <tpl fld="3" item="4"/>
          <tpl hier="64" item="0"/>
        </tpls>
      </n>
      <n v="548" in="1">
        <tpls c="4">
          <tpl fld="8" item="1"/>
          <tpl fld="9" item="4"/>
          <tpl fld="3" item="6"/>
          <tpl hier="64" item="0"/>
        </tpls>
      </n>
      <m>
        <tpls c="5">
          <tpl fld="4" item="18"/>
          <tpl fld="8" item="1"/>
          <tpl fld="9" item="0"/>
          <tpl fld="10" item="1"/>
          <tpl hier="64" item="0"/>
        </tpls>
      </m>
      <n v="4101" in="1">
        <tpls c="4">
          <tpl fld="8" item="0"/>
          <tpl fld="9" item="5"/>
          <tpl fld="3" item="76"/>
          <tpl hier="64" item="0"/>
        </tpls>
      </n>
      <n v="3617" in="1">
        <tpls c="4">
          <tpl fld="8" item="0"/>
          <tpl fld="9" item="4"/>
          <tpl fld="3" item="101"/>
          <tpl hier="64" item="0"/>
        </tpls>
      </n>
      <n v="3152128.4400000004" in="0">
        <tpls c="4">
          <tpl fld="8" item="1"/>
          <tpl fld="9" item="0"/>
          <tpl fld="3" item="76"/>
          <tpl hier="64" item="0"/>
        </tpls>
      </n>
      <n v="209" in="1">
        <tpls c="4">
          <tpl fld="8" item="0"/>
          <tpl fld="9" item="4"/>
          <tpl fld="3" item="93"/>
          <tpl hier="64" item="0"/>
        </tpls>
      </n>
      <n v="2275" in="1">
        <tpls c="5">
          <tpl fld="4" item="4"/>
          <tpl fld="8" item="1"/>
          <tpl fld="9" item="5"/>
          <tpl fld="1" item="1"/>
          <tpl hier="64" item="0"/>
        </tpls>
      </n>
      <n v="10122" in="1">
        <tpls c="4">
          <tpl fld="8" item="0"/>
          <tpl fld="9" item="5"/>
          <tpl fld="3" item="89"/>
          <tpl hier="64" item="0"/>
        </tpls>
      </n>
      <n v="0" in="1">
        <tpls c="5">
          <tpl fld="4" item="7"/>
          <tpl fld="8" item="1"/>
          <tpl fld="9" item="5"/>
          <tpl fld="1" item="1"/>
          <tpl hier="64" item="0"/>
        </tpls>
      </n>
      <n v="1729" in="1">
        <tpls c="4">
          <tpl fld="8" item="1"/>
          <tpl fld="9" item="5"/>
          <tpl fld="3" item="93"/>
          <tpl hier="64" item="0"/>
        </tpls>
      </n>
      <n v="3912080.6600000006" in="0">
        <tpls c="4">
          <tpl fld="8" item="1"/>
          <tpl fld="9" item="1"/>
          <tpl fld="3" item="21"/>
          <tpl hier="64" item="0"/>
        </tpls>
      </n>
      <n v="18" in="1">
        <tpls c="4">
          <tpl fld="8" item="1"/>
          <tpl fld="9" item="4"/>
          <tpl fld="3" item="9"/>
          <tpl hier="64" item="0"/>
        </tpls>
      </n>
      <n v="837487.1399999999" in="0">
        <tpls c="4">
          <tpl fld="8" item="0"/>
          <tpl fld="9" item="0"/>
          <tpl fld="3" item="65"/>
          <tpl hier="64" item="0"/>
        </tpls>
      </n>
      <n v="2" in="1">
        <tpls c="4">
          <tpl fld="8" item="0"/>
          <tpl fld="9" item="4"/>
          <tpl fld="3" item="95"/>
          <tpl hier="64" item="0"/>
        </tpls>
      </n>
      <n v="14111079.890000001" in="0">
        <tpls c="4">
          <tpl fld="8" item="1"/>
          <tpl fld="9" item="0"/>
          <tpl fld="3" item="104"/>
          <tpl hier="64" item="0"/>
        </tpls>
      </n>
      <n v="280" in="1">
        <tpls c="4">
          <tpl fld="8" item="0"/>
          <tpl fld="9" item="4"/>
          <tpl fld="3" item="109"/>
          <tpl hier="64" item="0"/>
        </tpls>
      </n>
      <n v="8941" in="1">
        <tpls c="4">
          <tpl fld="8" item="1"/>
          <tpl fld="9" item="5"/>
          <tpl fld="3" item="54"/>
          <tpl hier="64" item="0"/>
        </tpls>
      </n>
      <n v="2792837.5900000003" in="0">
        <tpls c="4">
          <tpl fld="8" item="0"/>
          <tpl fld="9" item="1"/>
          <tpl fld="3" item="10"/>
          <tpl hier="64" item="0"/>
        </tpls>
      </n>
      <n v="14" in="1">
        <tpls c="4">
          <tpl fld="8" item="1"/>
          <tpl fld="9" item="5"/>
          <tpl fld="3" item="95"/>
          <tpl hier="64" item="0"/>
        </tpls>
      </n>
      <n v="236" in="1">
        <tpls c="4">
          <tpl fld="8" item="1"/>
          <tpl fld="9" item="4"/>
          <tpl fld="3" item="41"/>
          <tpl hier="64" item="0"/>
        </tpls>
      </n>
      <n v="1809" in="1">
        <tpls c="4">
          <tpl fld="8" item="0"/>
          <tpl fld="9" item="4"/>
          <tpl fld="3" item="42"/>
          <tpl hier="64" item="0"/>
        </tpls>
      </n>
      <n v="1" in="1">
        <tpls c="4">
          <tpl fld="8" item="1"/>
          <tpl fld="9" item="4"/>
          <tpl fld="3" item="11"/>
          <tpl hier="64" item="0"/>
        </tpls>
      </n>
      <n v="471" in="1">
        <tpls c="4">
          <tpl fld="8" item="0"/>
          <tpl fld="9" item="4"/>
          <tpl fld="3" item="32"/>
          <tpl hier="64" item="0"/>
        </tpls>
      </n>
      <n v="69271.790000000008" in="0">
        <tpls c="4">
          <tpl fld="8" item="1"/>
          <tpl fld="9" item="0"/>
          <tpl fld="3" item="47"/>
          <tpl hier="64" item="0"/>
        </tpls>
      </n>
      <n v="4973426.66" in="0">
        <tpls c="4">
          <tpl fld="8" item="1"/>
          <tpl fld="9" item="0"/>
          <tpl fld="3" item="80"/>
          <tpl hier="64" item="0"/>
        </tpls>
      </n>
      <n v="2674000.79" in="0">
        <tpls c="4">
          <tpl fld="8" item="0"/>
          <tpl fld="9" item="1"/>
          <tpl fld="3" item="33"/>
          <tpl hier="64" item="0"/>
        </tpls>
      </n>
      <n v="1735570.7899999998" in="0">
        <tpls c="4">
          <tpl fld="8" item="0"/>
          <tpl fld="9" item="0"/>
          <tpl fld="3" item="57"/>
          <tpl hier="64" item="0"/>
        </tpls>
      </n>
      <n v="1" in="1">
        <tpls c="4">
          <tpl fld="8" item="0"/>
          <tpl fld="9" item="4"/>
          <tpl fld="3" item="69"/>
          <tpl hier="64" item="0"/>
        </tpls>
      </n>
      <n v="20505.169999999998" in="0">
        <tpls c="4">
          <tpl fld="8" item="0"/>
          <tpl fld="9" item="0"/>
          <tpl fld="3" item="51"/>
          <tpl hier="64" item="0"/>
        </tpls>
      </n>
      <n v="1" in="1">
        <tpls c="4">
          <tpl fld="8" item="1"/>
          <tpl fld="9" item="4"/>
          <tpl fld="3" item="56"/>
          <tpl hier="64" item="0"/>
        </tpls>
      </n>
      <n v="3144612.27" in="0">
        <tpls c="4">
          <tpl fld="8" item="0"/>
          <tpl fld="9" item="0"/>
          <tpl fld="3" item="11"/>
          <tpl hier="64" item="0"/>
        </tpls>
      </n>
      <n v="0" in="1">
        <tpls c="4">
          <tpl fld="8" item="0"/>
          <tpl fld="9" item="4"/>
          <tpl fld="3" item="70"/>
          <tpl hier="64" item="0"/>
        </tpls>
      </n>
      <n v="0" in="0">
        <tpls c="4">
          <tpl fld="8" item="0"/>
          <tpl fld="9" item="1"/>
          <tpl fld="3" item="51"/>
          <tpl hier="64" item="0"/>
        </tpls>
      </n>
      <n v="341432.37" in="0">
        <tpls c="4">
          <tpl fld="8" item="1"/>
          <tpl fld="9" item="0"/>
          <tpl fld="3" item="24"/>
          <tpl hier="64" item="0"/>
        </tpls>
      </n>
      <n v="11892" in="1">
        <tpls c="4">
          <tpl fld="8" item="0"/>
          <tpl fld="9" item="4"/>
          <tpl fld="3" item="48"/>
          <tpl hier="64" item="0"/>
        </tpls>
      </n>
      <n v="18" in="1">
        <tpls c="4">
          <tpl fld="8" item="0"/>
          <tpl fld="9" item="5"/>
          <tpl fld="3" item="83"/>
          <tpl hier="64" item="0"/>
        </tpls>
      </n>
      <n v="585401.92999999993" in="0">
        <tpls c="4">
          <tpl fld="8" item="0"/>
          <tpl fld="9" item="1"/>
          <tpl fld="3" item="76"/>
          <tpl hier="64" item="0"/>
        </tpls>
      </n>
      <n v="60" in="1">
        <tpls c="4">
          <tpl fld="8" item="0"/>
          <tpl fld="9" item="4"/>
          <tpl fld="3" item="99"/>
          <tpl hier="64" item="0"/>
        </tpls>
      </n>
      <n v="0" in="1">
        <tpls c="4">
          <tpl fld="8" item="1"/>
          <tpl fld="9" item="5"/>
          <tpl fld="3" item="23"/>
          <tpl hier="64" item="0"/>
        </tpls>
      </n>
      <n v="1803865.2" in="0">
        <tpls c="4">
          <tpl fld="8" item="1"/>
          <tpl fld="9" item="0"/>
          <tpl fld="3" item="13"/>
          <tpl hier="64" item="0"/>
        </tpls>
      </n>
      <n v="0" in="1">
        <tpls c="4">
          <tpl fld="8" item="1"/>
          <tpl fld="9" item="4"/>
          <tpl fld="3" item="50"/>
          <tpl hier="64" item="0"/>
        </tpls>
      </n>
      <n v="21013.309999999998" in="0">
        <tpls c="4">
          <tpl fld="8" item="1"/>
          <tpl fld="9" item="1"/>
          <tpl fld="3" item="17"/>
          <tpl hier="64" item="0"/>
        </tpls>
      </n>
      <n v="63925" in="1">
        <tpls c="5">
          <tpl fld="4" item="24"/>
          <tpl fld="8" item="1"/>
          <tpl fld="9" item="5"/>
          <tpl fld="1" item="0"/>
          <tpl hier="64" item="0"/>
        </tpls>
      </n>
      <n v="8" in="1">
        <tpls c="4">
          <tpl fld="8" item="1"/>
          <tpl fld="9" item="4"/>
          <tpl fld="3" item="90"/>
          <tpl hier="64" item="0"/>
        </tpls>
      </n>
      <n v="0" in="0">
        <tpls c="4">
          <tpl fld="8" item="0"/>
          <tpl fld="9" item="0"/>
          <tpl fld="3" item="35"/>
          <tpl hier="64" item="0"/>
        </tpls>
      </n>
      <n v="5649" in="1">
        <tpls c="5">
          <tpl fld="4" item="20"/>
          <tpl fld="8" item="1"/>
          <tpl fld="9" item="5"/>
          <tpl hier="54" item="4294967295"/>
          <tpl hier="64" item="0"/>
        </tpls>
      </n>
      <n v="0" in="0">
        <tpls c="4">
          <tpl fld="8" item="1"/>
          <tpl fld="9" item="1"/>
          <tpl fld="3" item="47"/>
          <tpl hier="64" item="0"/>
        </tpls>
      </n>
      <n v="1157" in="1">
        <tpls c="4">
          <tpl fld="8" item="1"/>
          <tpl fld="9" item="4"/>
          <tpl fld="3" item="87"/>
          <tpl hier="64" item="0"/>
        </tpls>
      </n>
      <n v="213373.87" in="0">
        <tpls c="4">
          <tpl fld="8" item="1"/>
          <tpl fld="9" item="0"/>
          <tpl fld="3" item="43"/>
          <tpl hier="64" item="0"/>
        </tpls>
      </n>
      <n v="4" in="1">
        <tpls c="4">
          <tpl fld="8" item="0"/>
          <tpl fld="9" item="4"/>
          <tpl fld="3" item="36"/>
          <tpl hier="64" item="0"/>
        </tpls>
      </n>
      <n v="0" in="0">
        <tpls c="4">
          <tpl fld="8" item="0"/>
          <tpl fld="9" item="1"/>
          <tpl fld="3" item="94"/>
          <tpl hier="64" item="0"/>
        </tpls>
      </n>
      <n v="23675127.239999998" in="0">
        <tpls c="4">
          <tpl fld="8" item="0"/>
          <tpl fld="9" item="0"/>
          <tpl fld="3" item="54"/>
          <tpl hier="64" item="0"/>
        </tpls>
      </n>
      <n v="5583183.1699999999" in="0">
        <tpls c="4">
          <tpl fld="8" item="0"/>
          <tpl fld="9" item="0"/>
          <tpl fld="3" item="20"/>
          <tpl hier="64" item="0"/>
        </tpls>
      </n>
      <n v="48132677.439999998" in="0">
        <tpls c="4">
          <tpl fld="8" item="0"/>
          <tpl fld="9" item="0"/>
          <tpl fld="3" item="82"/>
          <tpl hier="64" item="0"/>
        </tpls>
      </n>
      <n v="31174.21" in="0">
        <tpls c="4">
          <tpl fld="8" item="1"/>
          <tpl fld="9" item="1"/>
          <tpl fld="3" item="102"/>
          <tpl hier="64" item="0"/>
        </tpls>
      </n>
      <n v="2948" in="1">
        <tpls c="4">
          <tpl fld="8" item="0"/>
          <tpl fld="9" item="5"/>
          <tpl fld="3" item="74"/>
          <tpl hier="64" item="0"/>
        </tpls>
      </n>
      <n v="0" in="1">
        <tpls c="4">
          <tpl fld="8" item="1"/>
          <tpl fld="9" item="4"/>
          <tpl fld="3" item="47"/>
          <tpl hier="64" item="0"/>
        </tpls>
      </n>
      <n v="112" in="1">
        <tpls c="4">
          <tpl fld="8" item="0"/>
          <tpl fld="9" item="5"/>
          <tpl fld="3" item="27"/>
          <tpl hier="64" item="0"/>
        </tpls>
      </n>
      <n v="2293580.7800000003" in="0">
        <tpls c="4">
          <tpl fld="8" item="0"/>
          <tpl fld="9" item="1"/>
          <tpl fld="3" item="72"/>
          <tpl hier="64" item="0"/>
        </tpls>
      </n>
      <n v="6938.35" in="0">
        <tpls c="4">
          <tpl fld="8" item="0"/>
          <tpl fld="9" item="1"/>
          <tpl fld="3" item="81"/>
          <tpl hier="64" item="0"/>
        </tpls>
      </n>
      <n v="450512.68" in="0">
        <tpls c="4">
          <tpl fld="8" item="1"/>
          <tpl fld="9" item="1"/>
          <tpl fld="3" item="53"/>
          <tpl hier="64" item="0"/>
        </tpls>
      </n>
      <n v="11" in="1">
        <tpls c="4">
          <tpl fld="8" item="1"/>
          <tpl fld="9" item="5"/>
          <tpl fld="3" item="43"/>
          <tpl hier="64" item="0"/>
        </tpls>
      </n>
      <n v="4" in="1">
        <tpls c="4">
          <tpl fld="8" item="0"/>
          <tpl fld="9" item="5"/>
          <tpl fld="3" item="47"/>
          <tpl hier="64" item="0"/>
        </tpls>
      </n>
      <n v="0" in="0">
        <tpls c="4">
          <tpl fld="8" item="1"/>
          <tpl fld="9" item="1"/>
          <tpl fld="3" item="26"/>
          <tpl hier="64" item="0"/>
        </tpls>
      </n>
      <n v="515564.54" in="0">
        <tpls c="4">
          <tpl fld="8" item="0"/>
          <tpl fld="9" item="1"/>
          <tpl fld="3" item="64"/>
          <tpl hier="64" item="0"/>
        </tpls>
      </n>
      <n v="3267629.26" in="0">
        <tpls c="4">
          <tpl fld="8" item="1"/>
          <tpl fld="9" item="1"/>
          <tpl fld="3" item="54"/>
          <tpl hier="64" item="0"/>
        </tpls>
      </n>
      <n v="745597.03999999992" in="0">
        <tpls c="4">
          <tpl fld="8" item="0"/>
          <tpl fld="9" item="1"/>
          <tpl fld="3" item="105"/>
          <tpl hier="64" item="0"/>
        </tpls>
      </n>
      <n v="119" in="1">
        <tpls c="4">
          <tpl fld="8" item="0"/>
          <tpl fld="9" item="5"/>
          <tpl fld="3" item="97"/>
          <tpl hier="64" item="0"/>
        </tpls>
      </n>
      <n v="8568.58" in="0">
        <tpls c="4">
          <tpl fld="8" item="0"/>
          <tpl fld="9" item="1"/>
          <tpl fld="3" item="90"/>
          <tpl hier="64" item="0"/>
        </tpls>
      </n>
      <n v="0" in="1">
        <tpls c="4">
          <tpl fld="8" item="0"/>
          <tpl fld="9" item="4"/>
          <tpl fld="3" item="94"/>
          <tpl hier="64" item="0"/>
        </tpls>
      </n>
      <n v="96581.6" in="0">
        <tpls c="4">
          <tpl fld="8" item="0"/>
          <tpl fld="9" item="1"/>
          <tpl fld="3" item="91"/>
          <tpl hier="64" item="0"/>
        </tpls>
      </n>
      <n v="140" in="1">
        <tpls c="4">
          <tpl fld="8" item="1"/>
          <tpl fld="9" item="4"/>
          <tpl fld="3" item="58"/>
          <tpl hier="64" item="0"/>
        </tpls>
      </n>
      <n v="2225344.9500000002" in="0">
        <tpls c="4">
          <tpl fld="8" item="1"/>
          <tpl fld="9" item="1"/>
          <tpl fld="3" item="86"/>
          <tpl hier="64" item="0"/>
        </tpls>
      </n>
      <n v="1508" in="1">
        <tpls c="4">
          <tpl fld="8" item="1"/>
          <tpl fld="9" item="4"/>
          <tpl fld="3" item="82"/>
          <tpl hier="64" item="0"/>
        </tpls>
      </n>
      <n v="1236848.0399999996" in="0">
        <tpls c="4">
          <tpl fld="8" item="0"/>
          <tpl fld="9" item="0"/>
          <tpl fld="3" item="100"/>
          <tpl hier="64" item="0"/>
        </tpls>
      </n>
      <n v="4183747.0300000003" in="0">
        <tpls c="4">
          <tpl fld="8" item="1"/>
          <tpl fld="9" item="1"/>
          <tpl fld="3" item="22"/>
          <tpl hier="64" item="0"/>
        </tpls>
      </n>
      <n v="81" in="1">
        <tpls c="4">
          <tpl fld="8" item="1"/>
          <tpl fld="9" item="4"/>
          <tpl fld="3" item="52"/>
          <tpl hier="64" item="0"/>
        </tpls>
      </n>
      <n v="9783" in="1">
        <tpls c="4">
          <tpl fld="8" item="0"/>
          <tpl fld="9" item="5"/>
          <tpl fld="3" item="32"/>
          <tpl hier="64" item="0"/>
        </tpls>
      </n>
      <n v="179.54" in="0">
        <tpls c="4">
          <tpl fld="8" item="1"/>
          <tpl fld="9" item="0"/>
          <tpl fld="3" item="51"/>
          <tpl hier="64" item="0"/>
        </tpls>
      </n>
      <n v="1445192.04" in="0">
        <tpls c="4">
          <tpl fld="8" item="1"/>
          <tpl fld="9" item="0"/>
          <tpl fld="3" item="59"/>
          <tpl hier="64" item="0"/>
        </tpls>
      </n>
      <n v="0" in="1">
        <tpls c="4">
          <tpl fld="8" item="1"/>
          <tpl fld="9" item="4"/>
          <tpl fld="3" item="83"/>
          <tpl hier="64" item="0"/>
        </tpls>
      </n>
      <n v="20000" in="0">
        <tpls c="4">
          <tpl fld="8" item="1"/>
          <tpl fld="9" item="1"/>
          <tpl fld="3" item="85"/>
          <tpl hier="64" item="0"/>
        </tpls>
      </n>
      <n v="897" in="1">
        <tpls c="4">
          <tpl fld="8" item="0"/>
          <tpl fld="9" item="4"/>
          <tpl fld="3" item="21"/>
          <tpl hier="64" item="0"/>
        </tpls>
      </n>
      <n v="1334486.1399999999" in="0">
        <tpls c="4">
          <tpl fld="8" item="1"/>
          <tpl fld="9" item="1"/>
          <tpl fld="3" item="41"/>
          <tpl hier="64" item="0"/>
        </tpls>
      </n>
      <n v="138391.87" in="0">
        <tpls c="4">
          <tpl fld="8" item="0"/>
          <tpl fld="9" item="0"/>
          <tpl fld="3" item="43"/>
          <tpl hier="64" item="0"/>
        </tpls>
      </n>
      <n v="0" in="1">
        <tpls c="4">
          <tpl fld="8" item="1"/>
          <tpl fld="9" item="5"/>
          <tpl fld="3" item="88"/>
          <tpl hier="64" item="0"/>
        </tpls>
      </n>
      <n v="107418603.59999999" in="0">
        <tpls c="4">
          <tpl fld="8" item="0"/>
          <tpl fld="9" item="0"/>
          <tpl fld="3" item="73"/>
          <tpl hier="64" item="0"/>
        </tpls>
      </n>
      <n v="4015356.6999999997" in="0">
        <tpls c="4">
          <tpl fld="8" item="0"/>
          <tpl fld="9" item="1"/>
          <tpl fld="3" item="32"/>
          <tpl hier="64" item="0"/>
        </tpls>
      </n>
      <n v="0" in="0">
        <tpls c="4">
          <tpl fld="8" item="1"/>
          <tpl fld="9" item="0"/>
          <tpl fld="3" item="23"/>
          <tpl hier="64" item="0"/>
        </tpls>
      </n>
      <n v="15036376.719999999" in="0">
        <tpls c="4">
          <tpl fld="8" item="1"/>
          <tpl fld="9" item="1"/>
          <tpl fld="3" item="87"/>
          <tpl hier="64" item="0"/>
        </tpls>
      </n>
      <n v="214" in="1">
        <tpls c="4">
          <tpl fld="8" item="0"/>
          <tpl fld="9" item="4"/>
          <tpl fld="3" item="66"/>
          <tpl hier="64" item="0"/>
        </tpls>
      </n>
      <n v="6314021330.4799833" in="0">
        <tpls c="2">
          <tpl fld="9" item="0"/>
          <tpl fld="2" item="23"/>
        </tpls>
      </n>
      <n v="1858476506.7600002" in="0">
        <tpls c="2">
          <tpl fld="9" item="0"/>
          <tpl fld="3" item="6"/>
        </tpls>
      </n>
      <n v="12731854752.269995" in="0">
        <tpls c="2">
          <tpl fld="9" item="0"/>
          <tpl fld="2" item="20"/>
        </tpls>
      </n>
      <n v="116082901.20000002" in="0">
        <tpls c="2">
          <tpl fld="9" item="0"/>
          <tpl fld="2" item="12"/>
        </tpls>
      </n>
      <n v="221541066.03" in="0">
        <tpls c="2">
          <tpl fld="9" item="0"/>
          <tpl fld="2" item="14"/>
        </tpls>
      </n>
      <n v="41077036931.520012" in="0">
        <tpls c="2">
          <tpl fld="9" item="0"/>
          <tpl fld="3" item="84"/>
        </tpls>
      </n>
      <n v="3781791.32" in="0">
        <tpls c="4">
          <tpl fld="8" item="0"/>
          <tpl fld="9" item="1"/>
          <tpl fld="3" item="22"/>
          <tpl hier="64" item="0"/>
        </tpls>
      </n>
      <n v="82" in="1">
        <tpls c="4">
          <tpl fld="8" item="0"/>
          <tpl fld="9" item="4"/>
          <tpl fld="3" item="40"/>
          <tpl hier="64" item="0"/>
        </tpls>
      </n>
      <n v="7038137.9299999988" in="0">
        <tpls c="4">
          <tpl fld="8" item="1"/>
          <tpl fld="9" item="0"/>
          <tpl fld="3" item="74"/>
          <tpl hier="64" item="0"/>
        </tpls>
      </n>
      <n v="81316964.540000007" in="0">
        <tpls c="2">
          <tpl fld="9" item="0"/>
          <tpl fld="3" item="66"/>
        </tpls>
      </n>
      <n v="0" in="0">
        <tpls c="2">
          <tpl fld="9" item="0"/>
          <tpl fld="2" item="0"/>
        </tpls>
      </n>
      <n v="137219108.59000003" in="0">
        <tpls c="2">
          <tpl fld="9" item="0"/>
          <tpl fld="3" item="64"/>
        </tpls>
      </n>
      <n v="1" in="1">
        <tpls c="4">
          <tpl fld="8" item="0"/>
          <tpl fld="9" item="4"/>
          <tpl fld="3" item="60"/>
          <tpl hier="64" item="0"/>
        </tpls>
      </n>
      <n v="17" in="1">
        <tpls c="4">
          <tpl fld="8" item="0"/>
          <tpl fld="9" item="4"/>
          <tpl fld="3" item="77"/>
          <tpl hier="64" item="0"/>
        </tpls>
      </n>
      <n v="5587281.1899999995" in="0">
        <tpls c="4">
          <tpl fld="8" item="0"/>
          <tpl fld="9" item="0"/>
          <tpl fld="3" item="80"/>
          <tpl hier="64" item="0"/>
        </tpls>
      </n>
      <n v="0" in="1">
        <tpls c="4">
          <tpl fld="8" item="1"/>
          <tpl fld="9" item="5"/>
          <tpl fld="3" item="70"/>
          <tpl hier="64" item="0"/>
        </tpls>
      </n>
      <n v="12" in="1">
        <tpls c="4">
          <tpl fld="8" item="0"/>
          <tpl fld="9" item="5"/>
          <tpl fld="3" item="37"/>
          <tpl hier="64" item="0"/>
        </tpls>
      </n>
      <n v="313" in="1">
        <tpls c="4">
          <tpl fld="8" item="1"/>
          <tpl fld="9" item="4"/>
          <tpl fld="3" item="33"/>
          <tpl hier="64" item="0"/>
        </tpls>
      </n>
      <n v="3510649.47" in="0">
        <tpls c="4">
          <tpl fld="8" item="0"/>
          <tpl fld="9" item="1"/>
          <tpl fld="3" item="110"/>
          <tpl hier="64" item="0"/>
        </tpls>
      </n>
      <n v="446130.72" in="0">
        <tpls c="4">
          <tpl fld="8" item="0"/>
          <tpl fld="9" item="1"/>
          <tpl fld="3" item="25"/>
          <tpl hier="64" item="0"/>
        </tpls>
      </n>
      <n v="32252487.840000004" in="0">
        <tpls c="2">
          <tpl fld="9" item="0"/>
          <tpl fld="3" item="7"/>
        </tpls>
      </n>
      <n v="1438141039.2499998" in="0">
        <tpls c="2">
          <tpl fld="9" item="0"/>
          <tpl fld="2" item="13"/>
        </tpls>
      </n>
      <n v="4682" in="1">
        <tpls c="4">
          <tpl fld="8" item="0"/>
          <tpl fld="9" item="5"/>
          <tpl fld="3" item="44"/>
          <tpl hier="64" item="0"/>
        </tpls>
      </n>
      <n v="3450472.9000000004" in="0">
        <tpls c="4">
          <tpl fld="8" item="1"/>
          <tpl fld="9" item="0"/>
          <tpl fld="3" item="45"/>
          <tpl hier="64" item="0"/>
        </tpls>
      </n>
      <n v="103" in="1">
        <tpls c="4">
          <tpl fld="8" item="1"/>
          <tpl fld="9" item="5"/>
          <tpl fld="3" item="97"/>
          <tpl hier="64" item="0"/>
        </tpls>
      </n>
      <n v="360720.34" in="0">
        <tpls c="4">
          <tpl fld="8" item="1"/>
          <tpl fld="9" item="0"/>
          <tpl fld="3" item="61"/>
          <tpl hier="64" item="0"/>
        </tpls>
      </n>
      <n v="15579" in="1">
        <tpls c="4">
          <tpl fld="8" item="1"/>
          <tpl fld="9" item="4"/>
          <tpl fld="3" item="73"/>
          <tpl hier="64" item="0"/>
        </tpls>
      </n>
      <n v="586566.39" in="0">
        <tpls c="4">
          <tpl fld="8" item="0"/>
          <tpl fld="9" item="1"/>
          <tpl fld="3" item="99"/>
          <tpl hier="64" item="0"/>
        </tpls>
      </n>
      <n v="49" in="1">
        <tpls c="4">
          <tpl fld="8" item="1"/>
          <tpl fld="9" item="5"/>
          <tpl fld="3" item="57"/>
          <tpl hier="64" item="0"/>
        </tpls>
      </n>
      <n v="223678.04000000004" in="0">
        <tpls c="4">
          <tpl fld="8" item="1"/>
          <tpl fld="9" item="1"/>
          <tpl fld="3" item="30"/>
          <tpl hier="64" item="0"/>
        </tpls>
      </n>
      <n v="26" in="1">
        <tpls c="4">
          <tpl fld="8" item="1"/>
          <tpl fld="9" item="4"/>
          <tpl fld="3" item="111"/>
          <tpl hier="64" item="0"/>
        </tpls>
      </n>
      <n v="4468522988.5100012" in="0">
        <tpls c="2">
          <tpl fld="9" item="0"/>
          <tpl fld="2" item="11"/>
        </tpls>
      </n>
      <n v="9339.48" in="0">
        <tpls c="4">
          <tpl fld="8" item="0"/>
          <tpl fld="9" item="1"/>
          <tpl fld="3" item="85"/>
          <tpl hier="64" item="0"/>
        </tpls>
      </n>
      <n v="0" in="0">
        <tpls c="2">
          <tpl fld="9" item="0"/>
          <tpl fld="2" item="3"/>
        </tpls>
      </n>
      <n v="56166338355.490013" in="0">
        <tpls c="2">
          <tpl fld="9" item="0"/>
          <tpl fld="1" item="0"/>
        </tpls>
      </n>
      <n v="10138547.560000001" in="0">
        <tpls c="4">
          <tpl fld="8" item="0"/>
          <tpl fld="9" item="0"/>
          <tpl fld="3" item="86"/>
          <tpl hier="64" item="0"/>
        </tpls>
      </n>
      <n v="245305.87" in="0">
        <tpls c="4">
          <tpl fld="8" item="0"/>
          <tpl fld="9" item="0"/>
          <tpl fld="3" item="77"/>
          <tpl hier="64" item="0"/>
        </tpls>
      </n>
      <n v="2178460.0499999998" in="0">
        <tpls c="4">
          <tpl fld="8" item="1"/>
          <tpl fld="9" item="1"/>
          <tpl fld="3" item="74"/>
          <tpl hier="64" item="0"/>
        </tpls>
      </n>
      <n v="1795744004.8399997" in="0">
        <tpls c="2">
          <tpl fld="9" item="0"/>
          <tpl fld="2" item="7"/>
        </tpls>
      </n>
      <n v="1437" in="1">
        <tpls c="4">
          <tpl fld="8" item="1"/>
          <tpl fld="9" item="4"/>
          <tpl fld="3" item="21"/>
          <tpl hier="64" item="0"/>
        </tpls>
      </n>
      <n v="27" in="1">
        <tpls c="4">
          <tpl fld="8" item="0"/>
          <tpl fld="9" item="5"/>
          <tpl fld="3" item="78"/>
          <tpl hier="64" item="0"/>
        </tpls>
      </n>
      <n v="0" in="0">
        <tpls c="4">
          <tpl fld="8" item="0"/>
          <tpl fld="9" item="0"/>
          <tpl fld="3" item="79"/>
          <tpl hier="64" item="0"/>
        </tpls>
      </n>
      <n v="1645" in="1">
        <tpls c="4">
          <tpl fld="8" item="0"/>
          <tpl fld="9" item="5"/>
          <tpl fld="3" item="93"/>
          <tpl hier="64" item="0"/>
        </tpls>
      </n>
      <n v="2" in="1">
        <tpls c="4">
          <tpl fld="8" item="0"/>
          <tpl fld="9" item="4"/>
          <tpl fld="3" item="56"/>
          <tpl hier="64" item="0"/>
        </tpls>
      </n>
      <n v="290710.49" in="0">
        <tpls c="4">
          <tpl fld="8" item="1"/>
          <tpl fld="9" item="1"/>
          <tpl fld="3" item="76"/>
          <tpl hier="64" item="0"/>
        </tpls>
      </n>
      <n v="11364" in="1">
        <tpls c="4">
          <tpl fld="8" item="1"/>
          <tpl fld="9" item="5"/>
          <tpl fld="3" item="25"/>
          <tpl hier="64" item="0"/>
        </tpls>
      </n>
      <n v="17102642.559999999" in="0">
        <tpls c="4">
          <tpl fld="8" item="1"/>
          <tpl fld="9" item="1"/>
          <tpl fld="3" item="93"/>
          <tpl hier="64" item="0"/>
        </tpls>
      </n>
      <n v="210" in="1">
        <tpls c="4">
          <tpl fld="8" item="1"/>
          <tpl fld="9" item="4"/>
          <tpl fld="3" item="93"/>
          <tpl hier="64" item="0"/>
        </tpls>
      </n>
      <n v="2500" in="0">
        <tpls c="4">
          <tpl fld="8" item="0"/>
          <tpl fld="9" item="1"/>
          <tpl fld="3" item="107"/>
          <tpl hier="64" item="0"/>
        </tpls>
      </n>
      <n v="0" in="1">
        <tpls c="4">
          <tpl fld="8" item="0"/>
          <tpl fld="9" item="4"/>
          <tpl fld="3" item="107"/>
          <tpl hier="64" item="0"/>
        </tpls>
      </n>
      <n v="3474199.42" in="0">
        <tpls c="4">
          <tpl fld="8" item="1"/>
          <tpl fld="9" item="1"/>
          <tpl fld="3" item="55"/>
          <tpl hier="64" item="0"/>
        </tpls>
      </n>
      <n v="253" in="1">
        <tpls c="4">
          <tpl fld="8" item="1"/>
          <tpl fld="9" item="4"/>
          <tpl fld="3" item="55"/>
          <tpl hier="64" item="0"/>
        </tpls>
      </n>
      <n v="4656724.3999999994" in="0">
        <tpls c="4">
          <tpl fld="8" item="0"/>
          <tpl fld="9" item="1"/>
          <tpl fld="3" item="55"/>
          <tpl hier="64" item="0"/>
        </tpls>
      </n>
      <n v="15559040.020000001" in="0">
        <tpls c="4">
          <tpl fld="8" item="0"/>
          <tpl fld="9" item="1"/>
          <tpl fld="3" item="108"/>
          <tpl hier="64" item="0"/>
        </tpls>
      </n>
      <n v="28513" in="1">
        <tpls c="4">
          <tpl fld="8" item="0"/>
          <tpl fld="9" item="4"/>
          <tpl fld="3" item="108"/>
          <tpl hier="64" item="0"/>
        </tpls>
      </n>
      <n v="10" in="1">
        <tpls c="4">
          <tpl fld="8" item="0"/>
          <tpl fld="9" item="5"/>
          <tpl fld="3" item="96"/>
          <tpl hier="64" item="0"/>
        </tpls>
      </n>
      <n v="245954.65" in="0">
        <tpls c="4">
          <tpl fld="8" item="0"/>
          <tpl fld="9" item="0"/>
          <tpl fld="3" item="96"/>
          <tpl hier="64" item="0"/>
        </tpls>
      </n>
      <n v="273713.17000000004" in="0">
        <tpls c="4">
          <tpl fld="8" item="1"/>
          <tpl fld="9" item="0"/>
          <tpl fld="3" item="96"/>
          <tpl hier="64" item="0"/>
        </tpls>
      </n>
      <n v="10" in="1">
        <tpls c="4">
          <tpl fld="8" item="1"/>
          <tpl fld="9" item="5"/>
          <tpl fld="3" item="96"/>
          <tpl hier="64" item="0"/>
        </tpls>
      </n>
      <n v="194944160.95000002" in="0">
        <tpls c="4">
          <tpl fld="8" item="0"/>
          <tpl fld="9" item="1"/>
          <tpl fld="3" item="84"/>
          <tpl hier="64" item="0"/>
        </tpls>
      </n>
      <n v="198976204.55999997" in="0">
        <tpls c="4">
          <tpl fld="8" item="1"/>
          <tpl fld="9" item="1"/>
          <tpl fld="3" item="84"/>
          <tpl hier="64" item="0"/>
        </tpls>
      </n>
      <n v="12292206.58" in="0">
        <tpls c="4">
          <tpl fld="8" item="0"/>
          <tpl fld="9" item="0"/>
          <tpl fld="3" item="25"/>
          <tpl hier="64" item="0"/>
        </tpls>
      </n>
      <n v="11330" in="1">
        <tpls c="4">
          <tpl fld="8" item="0"/>
          <tpl fld="9" item="5"/>
          <tpl fld="3" item="25"/>
          <tpl hier="64" item="0"/>
        </tpls>
      </n>
      <n v="5507" in="1">
        <tpls c="4">
          <tpl fld="8" item="0"/>
          <tpl fld="9" item="5"/>
          <tpl fld="3" item="110"/>
          <tpl hier="64" item="0"/>
        </tpls>
      </n>
      <n v="6105" in="1">
        <tpls c="4">
          <tpl fld="8" item="1"/>
          <tpl fld="9" item="5"/>
          <tpl fld="3" item="110"/>
          <tpl hier="64" item="0"/>
        </tpls>
      </n>
      <n v="311649.49" in="0">
        <tpls c="4">
          <tpl fld="8" item="1"/>
          <tpl fld="9" item="0"/>
          <tpl fld="3" item="78"/>
          <tpl hier="64" item="0"/>
        </tpls>
      </n>
      <n v="203925.36000000002" in="0">
        <tpls c="4">
          <tpl fld="8" item="0"/>
          <tpl fld="9" item="0"/>
          <tpl fld="3" item="78"/>
          <tpl hier="64" item="0"/>
        </tpls>
      </n>
      <n v="222839.41" in="0">
        <tpls c="4">
          <tpl fld="8" item="0"/>
          <tpl fld="9" item="0"/>
          <tpl fld="3" item="37"/>
          <tpl hier="64" item="0"/>
        </tpls>
      </n>
      <n v="22" in="1">
        <tpls c="4">
          <tpl fld="8" item="1"/>
          <tpl fld="9" item="5"/>
          <tpl fld="3" item="37"/>
          <tpl hier="64" item="0"/>
        </tpls>
      </n>
      <n v="0" in="1">
        <tpls c="4">
          <tpl fld="8" item="1"/>
          <tpl fld="9" item="4"/>
          <tpl fld="3" item="38"/>
          <tpl hier="64" item="0"/>
        </tpls>
      </n>
      <n v="0" in="0">
        <tpls c="4">
          <tpl fld="8" item="0"/>
          <tpl fld="9" item="1"/>
          <tpl fld="3" item="38"/>
          <tpl hier="64" item="0"/>
        </tpls>
      </n>
      <n v="0" in="1">
        <tpls c="4">
          <tpl fld="8" item="0"/>
          <tpl fld="9" item="4"/>
          <tpl fld="3" item="38"/>
          <tpl hier="64" item="0"/>
        </tpls>
      </n>
      <n v="0" in="0">
        <tpls c="4">
          <tpl fld="8" item="1"/>
          <tpl fld="9" item="1"/>
          <tpl fld="3" item="38"/>
          <tpl hier="64" item="0"/>
        </tpls>
      </n>
      <n v="1330" in="1">
        <tpls c="4">
          <tpl fld="8" item="0"/>
          <tpl fld="9" item="4"/>
          <tpl fld="3" item="10"/>
          <tpl hier="64" item="0"/>
        </tpls>
      </n>
      <n v="1107" in="1">
        <tpls c="4">
          <tpl fld="8" item="1"/>
          <tpl fld="9" item="4"/>
          <tpl fld="3" item="10"/>
          <tpl hier="64" item="0"/>
        </tpls>
      </n>
      <n v="3081587.5500000003" in="0">
        <tpls c="4">
          <tpl fld="8" item="1"/>
          <tpl fld="9" item="1"/>
          <tpl fld="3" item="10"/>
          <tpl hier="64" item="0"/>
        </tpls>
      </n>
      <n v="1251" in="1">
        <tpls c="4">
          <tpl fld="8" item="0"/>
          <tpl fld="9" item="4"/>
          <tpl fld="3" item="28"/>
          <tpl hier="64" item="0"/>
        </tpls>
      </n>
      <n v="1563843.9400000002" in="0">
        <tpls c="4">
          <tpl fld="8" item="0"/>
          <tpl fld="9" item="1"/>
          <tpl fld="3" item="28"/>
          <tpl hier="64" item="0"/>
        </tpls>
      </n>
      <n v="1817296.8899999997" in="0">
        <tpls c="4">
          <tpl fld="8" item="1"/>
          <tpl fld="9" item="1"/>
          <tpl fld="3" item="28"/>
          <tpl hier="64" item="0"/>
        </tpls>
      </n>
      <n v="6966394.1699999999" in="0">
        <tpls c="4">
          <tpl fld="8" item="1"/>
          <tpl fld="9" item="0"/>
          <tpl fld="3" item="105"/>
          <tpl hier="64" item="0"/>
        </tpls>
      </n>
      <n v="666" in="1">
        <tpls c="4">
          <tpl fld="8" item="1"/>
          <tpl fld="9" item="5"/>
          <tpl fld="3" item="105"/>
          <tpl hier="64" item="0"/>
        </tpls>
      </n>
      <n v="906" in="1">
        <tpls c="4">
          <tpl fld="8" item="0"/>
          <tpl fld="9" item="5"/>
          <tpl fld="3" item="105"/>
          <tpl hier="64" item="0"/>
        </tpls>
      </n>
      <n v="7527143.3099999996" in="0">
        <tpls c="4">
          <tpl fld="8" item="1"/>
          <tpl fld="9" item="1"/>
          <tpl fld="3" item="109"/>
          <tpl hier="64" item="0"/>
        </tpls>
      </n>
      <n v="11926736.440000003" in="0">
        <tpls c="4">
          <tpl fld="8" item="0"/>
          <tpl fld="9" item="1"/>
          <tpl fld="3" item="109"/>
          <tpl hier="64" item="0"/>
        </tpls>
      </n>
      <n v="365" in="1">
        <tpls c="4">
          <tpl fld="8" item="1"/>
          <tpl fld="9" item="4"/>
          <tpl fld="3" item="109"/>
          <tpl hier="64" item="0"/>
        </tpls>
      </n>
      <n v="52" in="1">
        <tpls c="4">
          <tpl fld="8" item="0"/>
          <tpl fld="9" item="4"/>
          <tpl fld="3" item="86"/>
          <tpl hier="64" item="0"/>
        </tpls>
      </n>
      <n v="187" in="1">
        <tpls c="4">
          <tpl fld="8" item="1"/>
          <tpl fld="9" item="4"/>
          <tpl fld="3" item="86"/>
          <tpl hier="64" item="0"/>
        </tpls>
      </n>
      <n v="16" in="1">
        <tpls c="4">
          <tpl fld="8" item="1"/>
          <tpl fld="9" item="5"/>
          <tpl fld="3" item="98"/>
          <tpl hier="64" item="0"/>
        </tpls>
      </n>
      <n v="1228452.29" in="0">
        <tpls c="4">
          <tpl fld="8" item="0"/>
          <tpl fld="9" item="0"/>
          <tpl fld="3" item="98"/>
          <tpl hier="64" item="0"/>
        </tpls>
      </n>
      <n v="12" in="1">
        <tpls c="4">
          <tpl fld="8" item="0"/>
          <tpl fld="9" item="5"/>
          <tpl fld="3" item="98"/>
          <tpl hier="64" item="0"/>
        </tpls>
      </n>
      <n v="85" in="1">
        <tpls c="4">
          <tpl fld="8" item="0"/>
          <tpl fld="9" item="4"/>
          <tpl fld="3" item="63"/>
          <tpl hier="64" item="0"/>
        </tpls>
      </n>
      <n v="80" in="1">
        <tpls c="4">
          <tpl fld="8" item="1"/>
          <tpl fld="9" item="4"/>
          <tpl fld="3" item="63"/>
          <tpl hier="64" item="0"/>
        </tpls>
      </n>
      <n v="167214.79" in="0">
        <tpls c="4">
          <tpl fld="8" item="0"/>
          <tpl fld="9" item="1"/>
          <tpl fld="3" item="63"/>
          <tpl hier="64" item="0"/>
        </tpls>
      </n>
      <n v="65" in="1">
        <tpls c="4">
          <tpl fld="8" item="1"/>
          <tpl fld="9" item="5"/>
          <tpl fld="3" item="69"/>
          <tpl hier="64" item="0"/>
        </tpls>
      </n>
      <n v="1125834.2" in="0">
        <tpls c="4">
          <tpl fld="8" item="0"/>
          <tpl fld="9" item="0"/>
          <tpl fld="3" item="69"/>
          <tpl hier="64" item="0"/>
        </tpls>
      </n>
      <n v="71" in="1">
        <tpls c="4">
          <tpl fld="8" item="0"/>
          <tpl fld="9" item="5"/>
          <tpl fld="3" item="69"/>
          <tpl hier="64" item="0"/>
        </tpls>
      </n>
      <n v="1158960.83" in="0">
        <tpls c="4">
          <tpl fld="8" item="1"/>
          <tpl fld="9" item="0"/>
          <tpl fld="3" item="69"/>
          <tpl hier="64" item="0"/>
        </tpls>
      </n>
      <n v="5" in="1">
        <tpls c="4">
          <tpl fld="8" item="0"/>
          <tpl fld="9" item="5"/>
          <tpl fld="3" item="107"/>
          <tpl hier="64" item="0"/>
        </tpls>
      </n>
      <n v="4346.3100000000004" in="0">
        <tpls c="4">
          <tpl fld="8" item="1"/>
          <tpl fld="9" item="0"/>
          <tpl fld="3" item="107"/>
          <tpl hier="64" item="0"/>
        </tpls>
      </n>
      <n v="325062" in="0">
        <tpls c="4">
          <tpl fld="8" item="0"/>
          <tpl fld="9" item="1"/>
          <tpl fld="3" item="102"/>
          <tpl hier="64" item="0"/>
        </tpls>
      </n>
      <n v="6" in="1">
        <tpls c="4">
          <tpl fld="8" item="0"/>
          <tpl fld="9" item="4"/>
          <tpl fld="3" item="102"/>
          <tpl hier="64" item="0"/>
        </tpls>
      </n>
      <n v="3808" in="1">
        <tpls c="4">
          <tpl fld="8" item="0"/>
          <tpl fld="9" item="4"/>
          <tpl fld="3" item="89"/>
          <tpl hier="64" item="0"/>
        </tpls>
      </n>
      <n v="4203" in="1">
        <tpls c="4">
          <tpl fld="8" item="1"/>
          <tpl fld="9" item="4"/>
          <tpl fld="3" item="89"/>
          <tpl hier="64" item="0"/>
        </tpls>
      </n>
      <n v="9397" in="1">
        <tpls c="4">
          <tpl fld="8" item="0"/>
          <tpl fld="9" item="5"/>
          <tpl fld="3" item="111"/>
          <tpl hier="64" item="0"/>
        </tpls>
      </n>
      <n v="25416" in="1">
        <tpls c="4">
          <tpl fld="8" item="1"/>
          <tpl fld="9" item="5"/>
          <tpl fld="3" item="111"/>
          <tpl hier="64" item="0"/>
        </tpls>
      </n>
      <n v="2451139.9699999997" in="0">
        <tpls c="4">
          <tpl fld="8" item="1"/>
          <tpl fld="9" item="0"/>
          <tpl fld="3" item="111"/>
          <tpl hier="64" item="0"/>
        </tpls>
      </n>
      <n v="528870.63" in="0">
        <tpls c="4">
          <tpl fld="8" item="0"/>
          <tpl fld="9" item="0"/>
          <tpl fld="3" item="111"/>
          <tpl hier="64" item="0"/>
        </tpls>
      </n>
      <n v="4" in="1">
        <tpls c="4">
          <tpl fld="8" item="0"/>
          <tpl fld="9" item="4"/>
          <tpl fld="3" item="90"/>
          <tpl hier="64" item="0"/>
        </tpls>
      </n>
      <n v="12695.55" in="0">
        <tpls c="4">
          <tpl fld="8" item="1"/>
          <tpl fld="9" item="1"/>
          <tpl fld="3" item="90"/>
          <tpl hier="64" item="0"/>
        </tpls>
      </n>
      <n v="816" in="1">
        <tpls c="4">
          <tpl fld="8" item="0"/>
          <tpl fld="9" item="5"/>
          <tpl fld="3" item="21"/>
          <tpl hier="64" item="0"/>
        </tpls>
      </n>
      <n v="6284513.4199999999" in="0">
        <tpls c="4">
          <tpl fld="8" item="0"/>
          <tpl fld="9" item="0"/>
          <tpl fld="3" item="21"/>
          <tpl hier="64" item="0"/>
        </tpls>
      </n>
      <n v="8423375.3100000005" in="0">
        <tpls c="4">
          <tpl fld="8" item="1"/>
          <tpl fld="9" item="0"/>
          <tpl fld="3" item="21"/>
          <tpl hier="64" item="0"/>
        </tpls>
      </n>
      <n v="675" in="1">
        <tpls c="4">
          <tpl fld="8" item="1"/>
          <tpl fld="9" item="5"/>
          <tpl fld="3" item="21"/>
          <tpl hier="64" item="0"/>
        </tpls>
      </n>
      <n v="154" in="1">
        <tpls c="4">
          <tpl fld="8" item="1"/>
          <tpl fld="9" item="4"/>
          <tpl fld="3" item="62"/>
          <tpl hier="64" item="0"/>
        </tpls>
      </n>
      <n v="970842.90999999992" in="0">
        <tpls c="4">
          <tpl fld="8" item="1"/>
          <tpl fld="9" item="1"/>
          <tpl fld="3" item="62"/>
          <tpl hier="64" item="0"/>
        </tpls>
      </n>
      <n v="1247150.29" in="0">
        <tpls c="4">
          <tpl fld="8" item="0"/>
          <tpl fld="9" item="1"/>
          <tpl fld="3" item="62"/>
          <tpl hier="64" item="0"/>
        </tpls>
      </n>
      <n v="3723" in="1">
        <tpls c="4">
          <tpl fld="8" item="0"/>
          <tpl fld="9" item="5"/>
          <tpl fld="3" item="109"/>
          <tpl hier="64" item="0"/>
        </tpls>
      </n>
      <n v="47840874.549999997" in="0">
        <tpls c="4">
          <tpl fld="8" item="0"/>
          <tpl fld="9" item="0"/>
          <tpl fld="3" item="109"/>
          <tpl hier="64" item="0"/>
        </tpls>
      </n>
      <n v="3631" in="1">
        <tpls c="4">
          <tpl fld="8" item="1"/>
          <tpl fld="9" item="5"/>
          <tpl fld="3" item="109"/>
          <tpl hier="64" item="0"/>
        </tpls>
      </n>
      <n v="42942521.200000003" in="0">
        <tpls c="4">
          <tpl fld="8" item="1"/>
          <tpl fld="9" item="0"/>
          <tpl fld="3" item="109"/>
          <tpl hier="64" item="0"/>
        </tpls>
      </n>
      <n v="97" in="1">
        <tpls c="4">
          <tpl fld="8" item="1"/>
          <tpl fld="9" item="4"/>
          <tpl fld="3" item="76"/>
          <tpl hier="64" item="0"/>
        </tpls>
      </n>
      <n v="110" in="1">
        <tpls c="4">
          <tpl fld="8" item="0"/>
          <tpl fld="9" item="4"/>
          <tpl fld="3" item="76"/>
          <tpl hier="64" item="0"/>
        </tpls>
      </n>
      <n v="3352646.7100000004" in="0">
        <tpls c="4">
          <tpl fld="8" item="1"/>
          <tpl fld="9" item="0"/>
          <tpl fld="3" item="11"/>
          <tpl hier="64" item="0"/>
        </tpls>
      </n>
      <n v="2272" in="1">
        <tpls c="4">
          <tpl fld="8" item="1"/>
          <tpl fld="9" item="5"/>
          <tpl fld="3" item="11"/>
          <tpl hier="64" item="0"/>
        </tpls>
      </n>
      <n v="0" in="1">
        <tpls c="4">
          <tpl fld="8" item="1"/>
          <tpl fld="9" item="4"/>
          <tpl fld="3" item="88"/>
          <tpl hier="64" item="0"/>
        </tpls>
      </n>
      <n v="0" in="0">
        <tpls c="4">
          <tpl fld="8" item="0"/>
          <tpl fld="9" item="1"/>
          <tpl fld="3" item="88"/>
          <tpl hier="64" item="0"/>
        </tpls>
      </n>
      <n v="0" in="1">
        <tpls c="4">
          <tpl fld="8" item="0"/>
          <tpl fld="9" item="4"/>
          <tpl fld="3" item="88"/>
          <tpl hier="64" item="0"/>
        </tpls>
      </n>
      <n v="0" in="0">
        <tpls c="4">
          <tpl fld="8" item="0"/>
          <tpl fld="9" item="0"/>
          <tpl fld="3" item="94"/>
          <tpl hier="64" item="0"/>
        </tpls>
      </n>
      <n v="0" in="0">
        <tpls c="4">
          <tpl fld="8" item="1"/>
          <tpl fld="9" item="0"/>
          <tpl fld="3" item="94"/>
          <tpl hier="64" item="0"/>
        </tpls>
      </n>
      <n v="0" in="1">
        <tpls c="4">
          <tpl fld="8" item="0"/>
          <tpl fld="9" item="5"/>
          <tpl fld="3" item="94"/>
          <tpl hier="64" item="0"/>
        </tpls>
      </n>
      <n v="0" in="1">
        <tpls c="4">
          <tpl fld="8" item="1"/>
          <tpl fld="9" item="5"/>
          <tpl fld="3" item="94"/>
          <tpl hier="64" item="0"/>
        </tpls>
      </n>
      <n v="198443.64" in="0">
        <tpls c="4">
          <tpl fld="8" item="0"/>
          <tpl fld="9" item="1"/>
          <tpl fld="3" item="77"/>
          <tpl hier="64" item="0"/>
        </tpls>
      </n>
      <n v="1" in="1">
        <tpls c="4">
          <tpl fld="8" item="1"/>
          <tpl fld="9" item="4"/>
          <tpl fld="3" item="77"/>
          <tpl hier="64" item="0"/>
        </tpls>
      </n>
      <n v="1375025.79" in="0">
        <tpls c="4">
          <tpl fld="8" item="1"/>
          <tpl fld="9" item="1"/>
          <tpl fld="3" item="105"/>
          <tpl hier="64" item="0"/>
        </tpls>
      </n>
      <n v="418" in="1">
        <tpls c="4">
          <tpl fld="8" item="0"/>
          <tpl fld="9" item="4"/>
          <tpl fld="3" item="105"/>
          <tpl hier="64" item="0"/>
        </tpls>
      </n>
      <n v="613" in="1">
        <tpls c="4">
          <tpl fld="8" item="1"/>
          <tpl fld="9" item="4"/>
          <tpl fld="3" item="105"/>
          <tpl hier="64" item="0"/>
        </tpls>
      </n>
      <n v="3" in="1">
        <tpls c="4">
          <tpl fld="8" item="1"/>
          <tpl fld="9" item="4"/>
          <tpl fld="3" item="27"/>
          <tpl hier="64" item="0"/>
        </tpls>
      </n>
      <n v="94939.73" in="0">
        <tpls c="4">
          <tpl fld="8" item="0"/>
          <tpl fld="9" item="1"/>
          <tpl fld="3" item="27"/>
          <tpl hier="64" item="0"/>
        </tpls>
      </n>
      <n v="261633.22000000003" in="0">
        <tpls c="4">
          <tpl fld="8" item="1"/>
          <tpl fld="9" item="1"/>
          <tpl fld="3" item="27"/>
          <tpl hier="64" item="0"/>
        </tpls>
      </n>
      <n v="15026040.279999999" in="0">
        <tpls c="4">
          <tpl fld="8" item="1"/>
          <tpl fld="9" item="0"/>
          <tpl fld="3" item="14"/>
          <tpl hier="64" item="0"/>
        </tpls>
      </n>
      <n v="719" in="1">
        <tpls c="4">
          <tpl fld="8" item="1"/>
          <tpl fld="9" item="5"/>
          <tpl fld="3" item="14"/>
          <tpl hier="64" item="0"/>
        </tpls>
      </n>
      <n v="706" in="1">
        <tpls c="4">
          <tpl fld="8" item="0"/>
          <tpl fld="9" item="5"/>
          <tpl fld="3" item="14"/>
          <tpl hier="64" item="0"/>
        </tpls>
      </n>
      <n v="15892881.42" in="0">
        <tpls c="4">
          <tpl fld="8" item="0"/>
          <tpl fld="9" item="0"/>
          <tpl fld="3" item="14"/>
          <tpl hier="64" item="0"/>
        </tpls>
      </n>
      <n v="297136.58999999997" in="0">
        <tpls c="4">
          <tpl fld="8" item="0"/>
          <tpl fld="9" item="1"/>
          <tpl fld="3" item="43"/>
          <tpl hier="64" item="0"/>
        </tpls>
      </n>
      <n v="27" in="1">
        <tpls c="4">
          <tpl fld="8" item="0"/>
          <tpl fld="9" item="4"/>
          <tpl fld="3" item="43"/>
          <tpl hier="64" item="0"/>
        </tpls>
      </n>
      <n v="271746.76" in="0">
        <tpls c="4">
          <tpl fld="8" item="1"/>
          <tpl fld="9" item="1"/>
          <tpl fld="3" item="43"/>
          <tpl hier="64" item="0"/>
        </tpls>
      </n>
      <n v="11" in="1">
        <tpls c="4">
          <tpl fld="8" item="1"/>
          <tpl fld="9" item="4"/>
          <tpl fld="3" item="43"/>
          <tpl hier="64" item="0"/>
        </tpls>
      </n>
      <n v="2143894.3699999996" in="0">
        <tpls c="4">
          <tpl fld="8" item="1"/>
          <tpl fld="9" item="0"/>
          <tpl fld="3" item="19"/>
          <tpl hier="64" item="0"/>
        </tpls>
      </n>
      <n v="55" in="1">
        <tpls c="4">
          <tpl fld="8" item="0"/>
          <tpl fld="9" item="5"/>
          <tpl fld="3" item="19"/>
          <tpl hier="64" item="0"/>
        </tpls>
      </n>
      <n v="12324238.800000001" in="0">
        <tpls c="4">
          <tpl fld="8" item="1"/>
          <tpl fld="9" item="0"/>
          <tpl fld="3" item="54"/>
          <tpl hier="64" item="0"/>
        </tpls>
      </n>
      <n v="15673" in="1">
        <tpls c="4">
          <tpl fld="8" item="0"/>
          <tpl fld="9" item="5"/>
          <tpl fld="3" item="54"/>
          <tpl hier="64" item="0"/>
        </tpls>
      </n>
      <n v="353517.74" in="0">
        <tpls c="4">
          <tpl fld="8" item="1"/>
          <tpl fld="9" item="0"/>
          <tpl fld="3" item="75"/>
          <tpl hier="64" item="0"/>
        </tpls>
      </n>
      <n v="920" in="1">
        <tpls c="4">
          <tpl fld="8" item="1"/>
          <tpl fld="9" item="5"/>
          <tpl fld="3" item="75"/>
          <tpl hier="64" item="0"/>
        </tpls>
      </n>
      <n v="382494.64" in="0">
        <tpls c="4">
          <tpl fld="8" item="0"/>
          <tpl fld="9" item="0"/>
          <tpl fld="3" item="75"/>
          <tpl hier="64" item="0"/>
        </tpls>
      </n>
      <n v="0" in="1">
        <tpls c="4">
          <tpl fld="8" item="1"/>
          <tpl fld="9" item="4"/>
          <tpl fld="3" item="98"/>
          <tpl hier="64" item="0"/>
        </tpls>
      </n>
      <n v="0" in="0">
        <tpls c="4">
          <tpl fld="8" item="0"/>
          <tpl fld="9" item="1"/>
          <tpl fld="3" item="98"/>
          <tpl hier="64" item="0"/>
        </tpls>
      </n>
      <n v="0" in="1">
        <tpls c="4">
          <tpl fld="8" item="0"/>
          <tpl fld="9" item="4"/>
          <tpl fld="3" item="98"/>
          <tpl hier="64" item="0"/>
        </tpls>
      </n>
      <n v="61448927.520000003" in="0">
        <tpls c="4">
          <tpl fld="8" item="0"/>
          <tpl fld="9" item="0"/>
          <tpl fld="3" item="87"/>
          <tpl hier="64" item="0"/>
        </tpls>
      </n>
      <n v="27971" in="1">
        <tpls c="4">
          <tpl fld="8" item="0"/>
          <tpl fld="9" item="5"/>
          <tpl fld="3" item="87"/>
          <tpl hier="64" item="0"/>
        </tpls>
      </n>
      <n v="33441" in="1">
        <tpls c="4">
          <tpl fld="8" item="1"/>
          <tpl fld="9" item="5"/>
          <tpl fld="3" item="87"/>
          <tpl hier="64" item="0"/>
        </tpls>
      </n>
      <n v="56576260.940000005" in="0">
        <tpls c="4">
          <tpl fld="8" item="1"/>
          <tpl fld="9" item="0"/>
          <tpl fld="3" item="87"/>
          <tpl hier="64" item="0"/>
        </tpls>
      </n>
      <n v="5" in="1">
        <tpls c="4">
          <tpl fld="8" item="1"/>
          <tpl fld="9" item="5"/>
          <tpl fld="3" item="103"/>
          <tpl hier="64" item="0"/>
        </tpls>
      </n>
      <n v="4" in="1">
        <tpls c="4">
          <tpl fld="8" item="0"/>
          <tpl fld="9" item="5"/>
          <tpl fld="3" item="103"/>
          <tpl hier="64" item="0"/>
        </tpls>
      </n>
      <n v="20284269.879999999" in="0">
        <tpls c="4">
          <tpl fld="8" item="0"/>
          <tpl fld="9" item="0"/>
          <tpl fld="3" item="103"/>
          <tpl hier="64" item="0"/>
        </tpls>
      </n>
      <n v="59" in="1">
        <tpls c="4">
          <tpl fld="8" item="0"/>
          <tpl fld="9" item="4"/>
          <tpl fld="3" item="110"/>
          <tpl hier="64" item="0"/>
        </tpls>
      </n>
      <n v="56" in="1">
        <tpls c="4">
          <tpl fld="8" item="1"/>
          <tpl fld="9" item="4"/>
          <tpl fld="3" item="110"/>
          <tpl hier="64" item="0"/>
        </tpls>
      </n>
      <n v="8010" in="1">
        <tpls c="4">
          <tpl fld="8" item="1"/>
          <tpl fld="9" item="5"/>
          <tpl fld="3" item="39"/>
          <tpl hier="64" item="0"/>
        </tpls>
      </n>
      <n v="254715.7" in="0">
        <tpls c="4">
          <tpl fld="8" item="1"/>
          <tpl fld="9" item="0"/>
          <tpl fld="3" item="39"/>
          <tpl hier="64" item="0"/>
        </tpls>
      </n>
      <n v="8651663.25" in="0">
        <tpls c="4">
          <tpl fld="8" item="0"/>
          <tpl fld="9" item="0"/>
          <tpl fld="3" item="39"/>
          <tpl hier="64" item="0"/>
        </tpls>
      </n>
      <n v="61200.75" in="0">
        <tpls c="4">
          <tpl fld="8" item="1"/>
          <tpl fld="9" item="1"/>
          <tpl fld="3" item="95"/>
          <tpl hier="64" item="0"/>
        </tpls>
      </n>
      <n v="51458.68" in="0">
        <tpls c="4">
          <tpl fld="8" item="0"/>
          <tpl fld="9" item="1"/>
          <tpl fld="3" item="95"/>
          <tpl hier="64" item="0"/>
        </tpls>
      </n>
      <n v="19" in="1">
        <tpls c="4">
          <tpl fld="8" item="1"/>
          <tpl fld="9" item="5"/>
          <tpl fld="3" item="34"/>
          <tpl hier="64" item="0"/>
        </tpls>
      </n>
      <n v="21" in="1">
        <tpls c="4">
          <tpl fld="8" item="0"/>
          <tpl fld="9" item="5"/>
          <tpl fld="3" item="34"/>
          <tpl hier="64" item="0"/>
        </tpls>
      </n>
      <n v="1394824.3899999997" in="0">
        <tpls c="4">
          <tpl fld="8" item="0"/>
          <tpl fld="9" item="0"/>
          <tpl fld="3" item="34"/>
          <tpl hier="64" item="0"/>
        </tpls>
      </n>
      <n v="1129498.6100000001" in="0">
        <tpls c="4">
          <tpl fld="8" item="1"/>
          <tpl fld="9" item="0"/>
          <tpl fld="3" item="34"/>
          <tpl hier="64" item="0"/>
        </tpls>
      </n>
      <n v="967764.33" in="0">
        <tpls c="4">
          <tpl fld="8" item="0"/>
          <tpl fld="9" item="1"/>
          <tpl fld="3" item="80"/>
          <tpl hier="64" item="0"/>
        </tpls>
      </n>
      <n v="786" in="1">
        <tpls c="4">
          <tpl fld="8" item="1"/>
          <tpl fld="9" item="4"/>
          <tpl fld="3" item="80"/>
          <tpl hier="64" item="0"/>
        </tpls>
      </n>
      <n v="616" in="1">
        <tpls c="4">
          <tpl fld="8" item="0"/>
          <tpl fld="9" item="4"/>
          <tpl fld="3" item="80"/>
          <tpl hier="64" item="0"/>
        </tpls>
      </n>
      <n v="19436" in="1">
        <tpls c="4">
          <tpl fld="8" item="1"/>
          <tpl fld="9" item="5"/>
          <tpl fld="3" item="106"/>
          <tpl hier="64" item="0"/>
        </tpls>
      </n>
      <n v="1369728.48" in="0">
        <tpls c="4">
          <tpl fld="8" item="1"/>
          <tpl fld="9" item="0"/>
          <tpl fld="3" item="106"/>
          <tpl hier="64" item="0"/>
        </tpls>
      </n>
      <n v="2439709.3099999996" in="0">
        <tpls c="4">
          <tpl fld="8" item="0"/>
          <tpl fld="9" item="0"/>
          <tpl fld="3" item="106"/>
          <tpl hier="64" item="0"/>
        </tpls>
      </n>
      <n v="29616" in="1">
        <tpls c="4">
          <tpl fld="8" item="0"/>
          <tpl fld="9" item="5"/>
          <tpl fld="3" item="106"/>
          <tpl hier="64" item="0"/>
        </tpls>
      </n>
      <n v="3" in="1">
        <tpls c="4">
          <tpl fld="8" item="0"/>
          <tpl fld="9" item="4"/>
          <tpl fld="3" item="57"/>
          <tpl hier="64" item="0"/>
        </tpls>
      </n>
      <n v="566581.44999999984" in="0">
        <tpls c="4">
          <tpl fld="8" item="1"/>
          <tpl fld="9" item="1"/>
          <tpl fld="3" item="57"/>
          <tpl hier="64" item="0"/>
        </tpls>
      </n>
      <n v="81033.590000000011" in="0">
        <tpls c="4">
          <tpl fld="8" item="0"/>
          <tpl fld="9" item="1"/>
          <tpl fld="3" item="57"/>
          <tpl hier="64" item="0"/>
        </tpls>
      </n>
      <n v="9" in="1">
        <tpls c="4">
          <tpl fld="8" item="1"/>
          <tpl fld="9" item="4"/>
          <tpl fld="3" item="57"/>
          <tpl hier="64" item="0"/>
        </tpls>
      </n>
      <n v="0" in="1">
        <tpls c="4">
          <tpl fld="8" item="1"/>
          <tpl fld="9" item="4"/>
          <tpl fld="3" item="75"/>
          <tpl hier="64" item="0"/>
        </tpls>
      </n>
      <n v="24271.43" in="0">
        <tpls c="4">
          <tpl fld="8" item="1"/>
          <tpl fld="9" item="1"/>
          <tpl fld="3" item="75"/>
          <tpl hier="64" item="0"/>
        </tpls>
      </n>
      <n v="0" in="0">
        <tpls c="4">
          <tpl fld="8" item="0"/>
          <tpl fld="9" item="1"/>
          <tpl fld="3" item="75"/>
          <tpl hier="64" item="0"/>
        </tpls>
      </n>
      <n v="0" in="1">
        <tpls c="4">
          <tpl fld="8" item="0"/>
          <tpl fld="9" item="4"/>
          <tpl fld="3" item="75"/>
          <tpl hier="64" item="0"/>
        </tpls>
      </n>
      <n v="38461" in="1">
        <tpls c="4">
          <tpl fld="8" item="1"/>
          <tpl fld="9" item="5"/>
          <tpl fld="3" item="104"/>
          <tpl hier="64" item="0"/>
        </tpls>
      </n>
      <n v="40096" in="1">
        <tpls c="4">
          <tpl fld="8" item="0"/>
          <tpl fld="9" item="5"/>
          <tpl fld="3" item="104"/>
          <tpl hier="64" item="0"/>
        </tpls>
      </n>
      <n v="13986337.370000001" in="0">
        <tpls c="4">
          <tpl fld="8" item="0"/>
          <tpl fld="9" item="0"/>
          <tpl fld="3" item="104"/>
          <tpl hier="64" item="0"/>
        </tpls>
      </n>
      <n v="1162156.1799999997" in="0">
        <tpls c="4">
          <tpl fld="8" item="0"/>
          <tpl fld="9" item="1"/>
          <tpl fld="3" item="9"/>
          <tpl hier="64" item="0"/>
        </tpls>
      </n>
      <n v="43" in="1">
        <tpls c="4">
          <tpl fld="8" item="0"/>
          <tpl fld="9" item="4"/>
          <tpl fld="3" item="9"/>
          <tpl hier="64" item="0"/>
        </tpls>
      </n>
      <n v="299243.46000000002" in="0">
        <tpls c="4">
          <tpl fld="8" item="1"/>
          <tpl fld="9" item="1"/>
          <tpl fld="3" item="9"/>
          <tpl hier="64" item="0"/>
        </tpls>
      </n>
      <n v="10" in="1">
        <tpls c="4">
          <tpl fld="8" item="1"/>
          <tpl fld="9" item="4"/>
          <tpl fld="3" item="45"/>
          <tpl hier="64" item="0"/>
        </tpls>
      </n>
      <n v="988677.55" in="0">
        <tpls c="4">
          <tpl fld="8" item="1"/>
          <tpl fld="9" item="1"/>
          <tpl fld="3" item="45"/>
          <tpl hier="64" item="0"/>
        </tpls>
      </n>
      <n v="2" in="1">
        <tpls c="4">
          <tpl fld="8" item="0"/>
          <tpl fld="9" item="4"/>
          <tpl fld="3" item="45"/>
          <tpl hier="64" item="0"/>
        </tpls>
      </n>
      <n v="350601.39999999997" in="0">
        <tpls c="4">
          <tpl fld="8" item="0"/>
          <tpl fld="9" item="1"/>
          <tpl fld="3" item="45"/>
          <tpl hier="64" item="0"/>
        </tpls>
      </n>
      <n v="71534.759999999995" in="0">
        <tpls c="4">
          <tpl fld="8" item="0"/>
          <tpl fld="9" item="1"/>
          <tpl fld="3" item="100"/>
          <tpl hier="64" item="0"/>
        </tpls>
      </n>
      <n v="3" in="1">
        <tpls c="4">
          <tpl fld="8" item="1"/>
          <tpl fld="9" item="4"/>
          <tpl fld="3" item="100"/>
          <tpl hier="64" item="0"/>
        </tpls>
      </n>
      <n v="15016.519999999997" in="0">
        <tpls c="4">
          <tpl fld="8" item="1"/>
          <tpl fld="9" item="1"/>
          <tpl fld="3" item="100"/>
          <tpl hier="64" item="0"/>
        </tpls>
      </n>
      <n v="11" in="1">
        <tpls c="4">
          <tpl fld="8" item="0"/>
          <tpl fld="9" item="4"/>
          <tpl fld="3" item="100"/>
          <tpl hier="64" item="0"/>
        </tpls>
      </n>
      <n v="2900719.61" in="0">
        <tpls c="4">
          <tpl fld="8" item="0"/>
          <tpl fld="9" item="0"/>
          <tpl fld="3" item="83"/>
          <tpl hier="64" item="0"/>
        </tpls>
      </n>
      <n v="3756897.74" in="0">
        <tpls c="4">
          <tpl fld="8" item="1"/>
          <tpl fld="9" item="0"/>
          <tpl fld="3" item="83"/>
          <tpl hier="64" item="0"/>
        </tpls>
      </n>
      <n v="17" in="1">
        <tpls c="4">
          <tpl fld="8" item="1"/>
          <tpl fld="9" item="5"/>
          <tpl fld="3" item="83"/>
          <tpl hier="64" item="0"/>
        </tpls>
      </n>
      <n v="2" in="1">
        <tpls c="4">
          <tpl fld="8" item="0"/>
          <tpl fld="9" item="4"/>
          <tpl fld="3" item="34"/>
          <tpl hier="64" item="0"/>
        </tpls>
      </n>
      <n v="25707.82" in="0">
        <tpls c="4">
          <tpl fld="8" item="0"/>
          <tpl fld="9" item="1"/>
          <tpl fld="3" item="34"/>
          <tpl hier="64" item="0"/>
        </tpls>
      </n>
      <n v="4" in="1">
        <tpls c="4">
          <tpl fld="8" item="1"/>
          <tpl fld="9" item="4"/>
          <tpl fld="3" item="34"/>
          <tpl hier="64" item="0"/>
        </tpls>
      </n>
      <n v="57391.040000000001" in="0">
        <tpls c="4">
          <tpl fld="8" item="1"/>
          <tpl fld="9" item="1"/>
          <tpl fld="3" item="34"/>
          <tpl hier="64" item="0"/>
        </tpls>
      </n>
      <n v="1682" in="1">
        <tpls c="4">
          <tpl fld="8" item="1"/>
          <tpl fld="9" item="4"/>
          <tpl fld="3" item="67"/>
          <tpl hier="64" item="0"/>
        </tpls>
      </n>
      <n v="4292014.5999999996" in="0">
        <tpls c="4">
          <tpl fld="8" item="0"/>
          <tpl fld="9" item="1"/>
          <tpl fld="3" item="67"/>
          <tpl hier="64" item="0"/>
        </tpls>
      </n>
      <n v="1640" in="1">
        <tpls c="4">
          <tpl fld="8" item="0"/>
          <tpl fld="9" item="4"/>
          <tpl fld="3" item="67"/>
          <tpl hier="64" item="0"/>
        </tpls>
      </n>
      <n v="3881433.5599999996" in="0">
        <tpls c="4">
          <tpl fld="8" item="1"/>
          <tpl fld="9" item="1"/>
          <tpl fld="3" item="67"/>
          <tpl hier="64" item="0"/>
        </tpls>
      </n>
      <n v="207765512.06999987" in="0">
        <tpls c="2">
          <tpl fld="9" item="0"/>
          <tpl fld="3" item="5"/>
        </tpls>
      </n>
      <n v="101379665235.30031" in="0">
        <tpls c="1">
          <tpl fld="9" item="1"/>
        </tpls>
      </n>
      <n v="3761694597.8500004" in="0">
        <tpls c="2">
          <tpl fld="9" item="0"/>
          <tpl fld="2" item="2"/>
        </tpls>
      </n>
      <n v="1264514306.7199998" in="0">
        <tpls c="2">
          <tpl fld="9" item="0"/>
          <tpl fld="3" item="3"/>
        </tpls>
      </n>
      <n v="2878540238.8299994" in="0">
        <tpls c="2">
          <tpl fld="9" item="0"/>
          <tpl fld="2" item="24"/>
        </tpls>
      </n>
      <n v="3343284503.4499998" in="0">
        <tpls c="2">
          <tpl fld="9" item="0"/>
          <tpl fld="3" item="92"/>
        </tpls>
      </n>
      <n v="16131170269.12002" in="0">
        <tpls c="2">
          <tpl fld="9" item="0"/>
          <tpl fld="2" item="22"/>
        </tpls>
      </n>
      <n v="207765512.06999987" in="0">
        <tpls c="2">
          <tpl fld="9" item="0"/>
          <tpl fld="2" item="1"/>
        </tpls>
      </n>
      <n v="63704738498.900047" in="0">
        <tpls c="2">
          <tpl fld="9" item="0"/>
          <tpl fld="2" item="6"/>
        </tpls>
      </n>
      <n v="110766095.56" in="0">
        <tpls c="5">
          <tpl fld="4" item="0"/>
          <tpl fld="8" item="1"/>
          <tpl fld="9" item="0"/>
          <tpl hier="60" item="4294967295"/>
          <tpl hier="64" item="0"/>
        </tpls>
      </n>
      <n v="252500" in="1">
        <tpls c="5">
          <tpl fld="4" item="0"/>
          <tpl fld="8" item="1"/>
          <tpl fld="9" item="5"/>
          <tpl hier="54" item="4294967295"/>
          <tpl hier="64" item="0"/>
        </tpls>
      </n>
      <n v="1341431065.9499996" in="0">
        <tpls c="2">
          <tpl fld="9" item="0"/>
          <tpl fld="3" item="55"/>
        </tpls>
      </n>
      <n v="75429" in="1">
        <tpls c="5">
          <tpl fld="4" item="0"/>
          <tpl fld="8" item="1"/>
          <tpl fld="9" item="5"/>
          <tpl fld="1" item="1"/>
          <tpl hier="64" item="0"/>
        </tpls>
      </n>
      <n v="19312254886.25" in="0">
        <tpls c="2">
          <tpl fld="9" item="0"/>
          <tpl fld="2" item="9"/>
        </tpls>
      </n>
      <n v="5800064329.8600025" in="0">
        <tpls c="2">
          <tpl fld="9" item="0"/>
          <tpl fld="2" item="15"/>
        </tpls>
      </n>
      <n v="65910206.540000007" in="0">
        <tpls c="5">
          <tpl fld="4" item="0"/>
          <tpl fld="8" item="1"/>
          <tpl fld="9" item="0"/>
          <tpl fld="10" item="1"/>
          <tpl hier="64" item="0"/>
        </tpls>
      </n>
      <n v="177071" in="1">
        <tpls c="5">
          <tpl fld="4" item="0"/>
          <tpl fld="8" item="1"/>
          <tpl fld="9" item="5"/>
          <tpl fld="1" item="0"/>
          <tpl hier="64" item="0"/>
        </tpls>
      </n>
      <n v="44855889.019999996" in="0">
        <tpls c="5">
          <tpl fld="4" item="0"/>
          <tpl fld="8" item="1"/>
          <tpl fld="9" item="0"/>
          <tpl fld="10" item="0"/>
          <tpl hier="64" item="0"/>
        </tpls>
      </n>
      <n v="995702904.61999929" in="0">
        <tpls c="2">
          <tpl fld="9" item="0"/>
          <tpl fld="2" item="10"/>
        </tpls>
      </n>
    </entries>
    <sets count="1">
      <set count="2" maxRank="1" setDefinition="{[Učestalost podataka].[Učestalost podatka].&amp;[11],[Učestalost podataka].[Učestalost podatka].&amp;[12]}">
        <tpls c="1">
          <tpl fld="0" item="0"/>
        </tpls>
      </set>
    </sets>
    <queryCache count="232">
      <query mdx="[Rizici].[hSkupineRiziciOsiguranja].[Rizik].&amp;[120]">
        <tpls c="1">
          <tpl fld="3" item="0"/>
        </tpls>
      </query>
      <query mdx="[Rizici].[hSkupineRiziciOsiguranja].[Vrsta osiguranja].&amp;[25]">
        <tpls c="1">
          <tpl fld="2" item="0"/>
        </tpls>
      </query>
      <query mdx="[Rizici].[hSkupineRiziciOsiguranja].[Rizik].&amp;[122]">
        <tpls c="1">
          <tpl fld="3" item="1"/>
        </tpls>
      </query>
      <query mdx="[Rizici].[hSkupineRiziciOsiguranja].[Vrsta osiguranja].&amp;[22]">
        <tpls c="1">
          <tpl fld="2" item="1"/>
        </tpls>
      </query>
      <query mdx="[Rizici].[hSkupineRiziciOsiguranja].[Vrsta osiguranja].&amp;[23]">
        <tpls c="1">
          <tpl fld="2" item="2"/>
        </tpls>
      </query>
      <query mdx="[Rizici].[hSkupineRiziciOsiguranja].[Vrsta osiguranja].&amp;[24]">
        <tpls c="1">
          <tpl fld="2" item="3"/>
        </tpls>
      </query>
      <query mdx="[Rizici].[hSkupineRiziciOsiguranja].[Rizik].&amp;[118]">
        <tpls c="1">
          <tpl fld="3" item="2"/>
        </tpls>
      </query>
      <query mdx="[Rizici].[hSkupineRiziciOsiguranja].[Rizik].&amp;[119]">
        <tpls c="1">
          <tpl fld="3" item="3"/>
        </tpls>
      </query>
      <query mdx="[Rizici].[hSkupineRiziciOsiguranja].[Vrsta osiguranja].&amp;[21]">
        <tpls c="1">
          <tpl fld="2" item="4"/>
        </tpls>
      </query>
      <query mdx="[Rizici].[hSkupineRiziciOsiguranja].[Rizik].&amp;[121]">
        <tpls c="1">
          <tpl fld="3" item="4"/>
        </tpls>
      </query>
      <query mdx="[Rizici].[hSkupineRiziciOsiguranja].[Rizik].&amp;[115]">
        <tpls c="1">
          <tpl fld="3" item="5"/>
        </tpls>
      </query>
      <query mdx="[Rizici].[hSkupineRiziciOsiguranja].[Rizik].&amp;[116]">
        <tpls c="1">
          <tpl fld="3" item="6"/>
        </tpls>
      </query>
      <query mdx="[Rizici].[hSkupineRiziciOsiguranja].[Rizik].&amp;[117]">
        <tpls c="1">
          <tpl fld="3" item="7"/>
        </tpls>
      </query>
      <query mdx="[Društva].[Hierarchy].[Društvo].&amp;[25]">
        <tpls c="1">
          <tpl fld="4" item="0"/>
        </tpls>
      </query>
      <query mdx="[Rizici].[hSkupineRiziciOsiguranja].[Vrsta osiguranja].&amp;[1]">
        <tpls c="1">
          <tpl fld="2" item="5"/>
        </tpls>
      </query>
      <query mdx="[Rizici].[hSkupineRiziciOsiguranja].[Vrsta osiguranja].&amp;[10]">
        <tpls c="1">
          <tpl fld="2" item="6"/>
        </tpls>
      </query>
      <query mdx="[Podvrste osiguranja].[hPodvrsteOsiguranja].[Rizik].&amp;[121]">
        <tpls c="1">
          <tpl fld="7" item="0"/>
        </tpls>
      </query>
      <query mdx="[Rizici].[hSkupineRiziciOsiguranja].[Vrsta osiguranja].&amp;[16]">
        <tpls c="1">
          <tpl fld="2" item="7"/>
        </tpls>
      </query>
      <query mdx="[Društva].[Hierarchy].[Društvo].&amp;[20]">
        <tpls c="1">
          <tpl fld="4" item="1"/>
        </tpls>
      </query>
      <query mdx="[Podvrste osiguranja].[hPodvrsteOsiguranja].[Rizik].&amp;[99]">
        <tpls c="1">
          <tpl fld="7" item="1"/>
        </tpls>
      </query>
      <query mdx="[Podvrste osiguranja].[hPodvrsteOsiguranja].[Rizik].&amp;[108]">
        <tpls c="1">
          <tpl fld="7" item="2"/>
        </tpls>
      </query>
      <query mdx="[Rizici].[hSkupineRiziciOsiguranja].[Vrsta osiguranja].&amp;[17]">
        <tpls c="1">
          <tpl fld="2" item="8"/>
        </tpls>
      </query>
      <query mdx="[Rizici].[hSkupineRiziciOsiguranja].[Vrsta osiguranja].&amp;[3]">
        <tpls c="1">
          <tpl fld="2" item="9"/>
        </tpls>
      </query>
      <query mdx="[Podvrste osiguranja].[hPodvrsteOsiguranja].[Rizik].&amp;[119]">
        <tpls c="1">
          <tpl fld="7" item="3"/>
        </tpls>
      </query>
      <query mdx="[Rizici].[hSkupineRiziciOsiguranja].[Vrsta osiguranja].&amp;[18]">
        <tpls c="1">
          <tpl fld="2" item="10"/>
        </tpls>
      </query>
      <query mdx="[Rizici].[hSkupineRiziciOsiguranja].[Skupina osiguranja].&amp;[2]">
        <tpls c="1">
          <tpl fld="1" item="0"/>
        </tpls>
      </query>
      <query mdx="[Društva].[Hierarchy].[Društvo].&amp;[8]">
        <tpls c="1">
          <tpl fld="4" item="2"/>
        </tpls>
      </query>
      <query mdx="[Društva].[Hierarchy].[Društvo].&amp;[36]">
        <tpls c="1">
          <tpl fld="4" item="3"/>
        </tpls>
      </query>
      <query mdx="[Podvrste osiguranja].[hPodvrsteOsiguranja].[Rizik].&amp;[113]">
        <tpls c="1">
          <tpl fld="7" item="4"/>
        </tpls>
      </query>
      <query mdx="[Rizici].[hSkupineRiziciOsiguranja].[Vrsta osiguranja].&amp;[6]">
        <tpls c="1">
          <tpl fld="2" item="11"/>
        </tpls>
      </query>
      <query mdx="[Društva].[Hierarchy].[Društvo].&amp;[33]">
        <tpls c="1">
          <tpl fld="4" item="4"/>
        </tpls>
      </query>
      <query mdx="[Društva].[Hierarchy].[Društvo].&amp;[39]">
        <tpls c="1">
          <tpl fld="4" item="5"/>
        </tpls>
      </query>
      <query mdx="[Društva].[Hierarchy].[Društvo].&amp;[40]">
        <tpls c="1">
          <tpl fld="4" item="6"/>
        </tpls>
      </query>
      <query mdx="[Društva].[Hierarchy].[Društvo].&amp;[23]">
        <tpls c="1">
          <tpl fld="4" item="7"/>
        </tpls>
      </query>
      <query mdx="[Podvrste osiguranja].[hPodvrsteOsiguranja].[Rizik].&amp;[111]">
        <tpls c="1">
          <tpl fld="7" item="5"/>
        </tpls>
      </query>
      <query mdx="[Rizici].[hSkupineRiziciOsiguranja].[Vrsta osiguranja].&amp;[15]">
        <tpls c="1">
          <tpl fld="2" item="12"/>
        </tpls>
      </query>
      <query mdx="[Društva].[Hierarchy].[Društvo].&amp;[37]">
        <tpls c="1">
          <tpl fld="4" item="8"/>
        </tpls>
      </query>
      <query mdx="[Rizici].[hSkupineRiziciOsiguranja].[Vrsta osiguranja].&amp;[7]">
        <tpls c="1">
          <tpl fld="2" item="13"/>
        </tpls>
      </query>
      <query mdx="[Rizici].[hSkupineRiziciOsiguranja].[Vrsta osiguranja].&amp;[20]">
        <tpls c="1">
          <tpl fld="2" item="14"/>
        </tpls>
      </query>
      <query mdx="[Podvrste osiguranja].[hPodvrsteOsiguranja].[Rizik].&amp;[116]">
        <tpls c="1">
          <tpl fld="7" item="6"/>
        </tpls>
      </query>
      <query mdx="[Rizici].[hSkupineRiziciOsiguranja].[Vrsta osiguranja].&amp;[2]">
        <tpls c="1">
          <tpl fld="2" item="15"/>
        </tpls>
      </query>
      <query mdx="[Društva].[Hierarchy].[Društvo].&amp;[12]">
        <tpls c="1">
          <tpl fld="4" item="9"/>
        </tpls>
      </query>
      <query mdx="[Društva].[Hierarchy].[Društvo].&amp;[38]">
        <tpls c="1">
          <tpl fld="4" item="10"/>
        </tpls>
      </query>
      <query mdx="[Podvrste osiguranja].[hPodvrsteOsiguranja].[Rizik].&amp;[109]">
        <tpls c="1">
          <tpl fld="7" item="7"/>
        </tpls>
      </query>
      <query mdx="[Rizici].[hSkupineRiziciOsiguranja].[Vrsta osiguranja].&amp;[19]">
        <tpls c="1">
          <tpl fld="2" item="16"/>
        </tpls>
      </query>
      <query mdx="[Društva].[Hierarchy].[Društvo].&amp;[21]">
        <tpls c="1">
          <tpl fld="4" item="11"/>
        </tpls>
      </query>
      <query mdx="[Rizici].[hSkupineRiziciOsiguranja].[Vrsta osiguranja].&amp;[5]">
        <tpls c="1">
          <tpl fld="2" item="17"/>
        </tpls>
      </query>
      <query mdx="[Podvrste osiguranja].[hPodvrsteOsiguranja].[Rizik].&amp;[122]">
        <tpls c="1">
          <tpl fld="7" item="8"/>
        </tpls>
      </query>
      <query mdx="[Rizici].[hSkupineRiziciOsiguranja].[Vrsta osiguranja].&amp;[11]">
        <tpls c="1">
          <tpl fld="2" item="18"/>
        </tpls>
      </query>
      <query mdx="[Godina Podatka].[Godina podatka].[2015]">
        <tpls c="1">
          <tpl fld="8" item="0"/>
        </tpls>
      </query>
      <query mdx="[Measures].[Zaračunata bruto premija osiguranja- rizici]">
        <tpls c="1">
          <tpl fld="9" item="0"/>
        </tpls>
      </query>
      <query mdx="[Skupine osiguranja].[Skupina osiguranja].[Život]">
        <tpls c="1">
          <tpl fld="10" item="0"/>
        </tpls>
      </query>
      <query mdx="[Skupine osiguranja].[Skupina osiguranja].[Sve]">
        <tpls c="1">
          <tpl hier="60" item="4294967295"/>
        </tpls>
      </query>
      <query mdx="[Measures].[Likvidirane štete bruto - rizici]">
        <tpls c="1">
          <tpl fld="9" item="1"/>
        </tpls>
      </query>
      <query mdx="[Skupine osiguranja].[Skupina osiguranja].[Neživot]">
        <tpls c="1">
          <tpl fld="10" item="1"/>
        </tpls>
      </query>
      <query mdx="[Godina Podatka].[Godina podatka].&amp;[2015]">
        <tpls c="1">
          <tpl fld="8" item="0"/>
        </tpls>
      </query>
      <query mdx="[Measures].[Broj novih osiguranja s višekratnim plaćanjem premije]">
        <tpls c="1">
          <tpl fld="9" item="2"/>
        </tpls>
      </query>
      <query mdx="[Measures].[Broj novih osiguranja s jednokratnim plaćanjem premije]">
        <tpls c="1">
          <tpl fld="9" item="3"/>
        </tpls>
      </query>
      <query mdx="[Measures].[Broj šteta - rizici]">
        <tpls c="1">
          <tpl fld="9" item="4"/>
        </tpls>
      </query>
      <query mdx="[Measures].[Broj osiguranja- rizici]">
        <tpls c="1">
          <tpl fld="9" item="5"/>
        </tpls>
      </query>
      <query mdx="[Rizici].[hSkupineRiziciOsiguranja].[Skupina osiguranja].&amp;[1]">
        <tpls c="1">
          <tpl fld="1" item="1"/>
        </tpls>
      </query>
      <query mdx="[Rizici].[hSkupineRiziciOsiguranja].[Vrsta osiguranja].&amp;[4]">
        <tpls c="1">
          <tpl fld="2" item="19"/>
        </tpls>
      </query>
      <query mdx="[Rizici].[hSkupineRiziciOsiguranja].[Vrsta osiguranja].&amp;[8]">
        <tpls c="1">
          <tpl fld="2" item="20"/>
        </tpls>
      </query>
      <query mdx="[Društva].[Hierarchy].[Društvo].&amp;[6]">
        <tpls c="1">
          <tpl fld="4" item="12"/>
        </tpls>
      </query>
      <query mdx="[Društva].[Hierarchy].[Društvo].&amp;[5]">
        <tpls c="1">
          <tpl fld="4" item="13"/>
        </tpls>
      </query>
      <query mdx="[Društva].[Hierarchy].[Društvo].&amp;[30]">
        <tpls c="1">
          <tpl fld="4" item="14"/>
        </tpls>
      </query>
      <query mdx="[Rizici].[hSkupineRiziciOsiguranja].[Sve]">
        <tpls c="1">
          <tpl hier="54" item="4294967295"/>
        </tpls>
      </query>
      <query mdx="[Rizici].[hSkupineRiziciOsiguranja].[Vrsta osiguranja].&amp;[12]">
        <tpls c="1">
          <tpl fld="2" item="21"/>
        </tpls>
      </query>
      <query mdx="[Rizici].[hSkupineRiziciOsiguranja].[Vrsta osiguranja].&amp;[9]">
        <tpls c="1">
          <tpl fld="2" item="22"/>
        </tpls>
      </query>
      <query mdx="[Rizici].[hSkupineRiziciOsiguranja].[Vrsta osiguranja].&amp;[13]">
        <tpls c="1">
          <tpl fld="2" item="23"/>
        </tpls>
      </query>
      <query mdx="[Društva].[Hierarchy].[Društvo].&amp;[35]">
        <tpls c="1">
          <tpl fld="4" item="15"/>
        </tpls>
      </query>
      <query mdx="[Podvrste osiguranja].[hPodvrsteOsiguranja].[Rizik].&amp;[112]">
        <tpls c="1">
          <tpl fld="7" item="9"/>
        </tpls>
      </query>
      <query mdx="[Društva].[Hierarchy].[Društvo].&amp;[29]">
        <tpls c="1">
          <tpl fld="4" item="16"/>
        </tpls>
      </query>
      <query mdx="[Društva].[Hierarchy].[Društvo].&amp;[31]">
        <tpls c="1">
          <tpl fld="4" item="17"/>
        </tpls>
      </query>
      <query mdx="[Društva].[Hierarchy].[Društvo].&amp;[15]">
        <tpls c="1">
          <tpl fld="4" item="18"/>
        </tpls>
      </query>
      <query mdx="[Društva].[Hierarchy].[All]">
        <tpls c="1">
          <tpl hier="22" item="4294967295"/>
        </tpls>
      </query>
      <query mdx="[Društva].[Hierarchy].[Društvo].&amp;[18]">
        <tpls c="1">
          <tpl fld="4" item="19"/>
        </tpls>
      </query>
      <query mdx="[Podvrste osiguranja].[hPodvrsteOsiguranja].[Rizik].&amp;[110]">
        <tpls c="1">
          <tpl fld="7" item="10"/>
        </tpls>
      </query>
      <query mdx="[Društva].[Hierarchy].[Društvo].&amp;[41]">
        <tpls c="1">
          <tpl fld="4" item="20"/>
        </tpls>
      </query>
      <query mdx="[Društva].[Hierarchy].[Društvo].&amp;[197]">
        <tpls c="1">
          <tpl fld="4" item="21"/>
        </tpls>
      </query>
      <query mdx="[Rizici].[hSkupineRiziciOsiguranja].[Skupina osiguranja].[Neživot]">
        <tpls c="1">
          <tpl fld="1" item="1"/>
        </tpls>
      </query>
      <query mdx="[Podvrste osiguranja].[hPodvrsteOsiguranja].[Rizik].&amp;[120]">
        <tpls c="1">
          <tpl fld="7" item="11"/>
        </tpls>
      </query>
      <query mdx="[Measures].[Zaračunata bruto premija novih osiguranja s jednokratnim plaćanjem premije]">
        <tpls c="1">
          <tpl fld="9" item="6"/>
        </tpls>
      </query>
      <query mdx="[Measures].[Zaračunata bruto premija novih osiguranja s višekratnim plaćanjem premije]">
        <tpls c="1">
          <tpl fld="9" item="7"/>
        </tpls>
      </query>
      <query mdx="[Rizici].[hSkupineRiziciOsiguranja].[Skupina osiguranja].[Život]">
        <tpls c="1">
          <tpl fld="1" item="0"/>
        </tpls>
      </query>
      <query mdx="[Društva].[Hierarchy].[Društvo].&amp;[34]">
        <tpls c="1">
          <tpl fld="4" item="22"/>
        </tpls>
      </query>
      <query mdx="[Podvrste osiguranja].[hPodvrsteOsiguranja].[Rizik].&amp;[100]">
        <tpls c="1">
          <tpl fld="7" item="12"/>
        </tpls>
      </query>
      <query mdx="[Podvrste osiguranja].[hPodvrsteOsiguranja].[Rizik].&amp;[118]">
        <tpls c="1">
          <tpl fld="7" item="13"/>
        </tpls>
      </query>
      <query mdx="[Rizici].[hSkupineRiziciOsiguranja].[Vrsta osiguranja].&amp;[14]">
        <tpls c="1">
          <tpl fld="2" item="24"/>
        </tpls>
      </query>
      <query mdx="[Društva].[Hierarchy].[Društvo].&amp;[10]">
        <tpls c="1">
          <tpl fld="4" item="23"/>
        </tpls>
      </query>
      <query mdx="[Podvrste osiguranja].[hPodvrsteOsiguranja].[Rizik].&amp;[97]">
        <tpls c="1">
          <tpl fld="7" item="14"/>
        </tpls>
      </query>
      <query mdx="[Društva].[Hierarchy].[Društvo].&amp;[32]">
        <tpls c="1">
          <tpl fld="4" item="24"/>
        </tpls>
      </query>
      <query mdx="[Podvrste osiguranja].[hPodvrsteOsiguranja].[Rizik].&amp;[115]">
        <tpls c="1">
          <tpl fld="7" item="15"/>
        </tpls>
      </query>
      <query mdx="[Podvrste osiguranja].[hPodvrsteOsiguranja].[Rizik].&amp;[98]">
        <tpls c="1">
          <tpl fld="7" item="16"/>
        </tpls>
      </query>
      <query mdx="[Podvrste osiguranja].[hPodvrsteOsiguranja].[Rizik].&amp;[117]">
        <tpls c="1">
          <tpl fld="7" item="17"/>
        </tpls>
      </query>
      <query mdx="[Društva].[Hierarchy].[Društvo].&amp;[16]">
        <tpls c="1">
          <tpl fld="4" item="25"/>
        </tpls>
      </query>
      <query mdx="[Podvrste osiguranja].[hPodvrsteOsiguranja].[Rizik].&amp;[114]">
        <tpls c="1">
          <tpl fld="7" item="18"/>
        </tpls>
      </query>
      <query mdx="[Podvrste osiguranja].[hPodvrsteOsiguranja].[Rizik].&amp;[96]">
        <tpls c="1">
          <tpl fld="7" item="19"/>
        </tpls>
      </query>
      <query mdx="[Godina Podatka].[Godina podatka].[2014]">
        <tpls c="1">
          <tpl fld="8" item="1"/>
        </tpls>
      </query>
      <query mdx="[Godina Podatka].[Godina podatka].&amp;[2014]">
        <tpls c="1">
          <tpl fld="8" item="1"/>
        </tpls>
      </query>
      <query mdx="[Rizici].[hSkupineRiziciOsiguranja].[Rizik].&amp;[53]">
        <tpls c="1">
          <tpl fld="3" item="8"/>
        </tpls>
      </query>
      <query mdx="[Rizici].[hSkupineRiziciOsiguranja].[Rizik].&amp;[46]">
        <tpls c="1">
          <tpl fld="3" item="9"/>
        </tpls>
      </query>
      <query mdx="[Rizici].[hSkupineRiziciOsiguranja].[Rizik].&amp;[18]">
        <tpls c="1">
          <tpl fld="3" item="10"/>
        </tpls>
      </query>
      <query mdx="[Rizici].[hSkupineRiziciOsiguranja].[Rizik].&amp;[68]">
        <tpls c="1">
          <tpl fld="3" item="11"/>
        </tpls>
      </query>
      <query mdx="[Rizici].[hSkupineRiziciOsiguranja].[Rizik].&amp;[42]">
        <tpls c="1">
          <tpl fld="3" item="12"/>
        </tpls>
      </query>
      <query mdx="[Rizici].[hSkupineRiziciOsiguranja].[Rizik].&amp;[54]">
        <tpls c="1">
          <tpl fld="3" item="13"/>
        </tpls>
      </query>
      <query mdx="[Rizici].[hSkupineRiziciOsiguranja].[Rizik].&amp;[55]">
        <tpls c="1">
          <tpl fld="3" item="14"/>
        </tpls>
      </query>
      <query mdx="[Rizici].[hSkupineRiziciOsiguranja].[Rizik].&amp;[64]">
        <tpls c="1">
          <tpl fld="3" item="15"/>
        </tpls>
      </query>
      <query mdx="[Rizici].[hSkupineRiziciOsiguranja].[Rizik].&amp;[59]">
        <tpls c="1">
          <tpl fld="3" item="16"/>
        </tpls>
      </query>
      <query mdx="[Rizici].[hSkupineRiziciOsiguranja].[Rizik].&amp;[91]">
        <tpls c="1">
          <tpl fld="3" item="17"/>
        </tpls>
      </query>
      <query mdx="[Rizici].[hSkupineRiziciOsiguranja].[Rizik].&amp;[57]">
        <tpls c="1">
          <tpl fld="3" item="18"/>
        </tpls>
      </query>
      <query mdx="[Vrste osiguranja].[hSkupineVrsteOsiguranja].[Vrsta osiguranja].&amp;[22]">
        <tpls c="1">
          <tpl fld="12" item="0"/>
        </tpls>
      </query>
      <query mdx="[Rizici].[hSkupineRiziciOsiguranja].[Rizik].&amp;[72]">
        <tpls c="1">
          <tpl fld="3" item="19"/>
        </tpls>
      </query>
      <query mdx="[Rizici].[hSkupineRiziciOsiguranja].[Rizik].&amp;[40]">
        <tpls c="1">
          <tpl fld="3" item="20"/>
        </tpls>
      </query>
      <query mdx="[Rizici].[hSkupineRiziciOsiguranja].[Rizik].&amp;[15]">
        <tpls c="1">
          <tpl fld="3" item="21"/>
        </tpls>
      </query>
      <query mdx="[Rizici].[hSkupineRiziciOsiguranja].[Rizik].&amp;[99]">
        <tpls c="1">
          <tpl fld="3" item="22"/>
        </tpls>
      </query>
      <query mdx="[Rizici].[hSkupineRiziciOsiguranja].[Rizik].&amp;[63]">
        <tpls c="1">
          <tpl fld="3" item="23"/>
        </tpls>
      </query>
      <query mdx="[Rizici].[hSkupineRiziciOsiguranja].[Rizik].&amp;[70]">
        <tpls c="1">
          <tpl fld="3" item="24"/>
        </tpls>
      </query>
      <query mdx="[Vrste osiguranja].[hSkupineVrsteOsiguranja].[Vrsta osiguranja].&amp;[15]">
        <tpls c="1">
          <tpl fld="12" item="1"/>
        </tpls>
      </query>
      <query mdx="[Rizici].[hSkupineRiziciOsiguranja].[Rizik].&amp;[8]">
        <tpls c="1">
          <tpl fld="3" item="25"/>
        </tpls>
      </query>
      <query mdx="[Rizici].[hSkupineRiziciOsiguranja].[Rizik].&amp;[61]">
        <tpls c="1">
          <tpl fld="3" item="26"/>
        </tpls>
      </query>
      <query mdx="[Rizici].[hSkupineRiziciOsiguranja].[Rizik].&amp;[82]">
        <tpls c="1">
          <tpl fld="3" item="27"/>
        </tpls>
      </query>
      <query mdx="[Rizici].[hSkupineRiziciOsiguranja].[Rizik].&amp;[3]">
        <tpls c="1">
          <tpl fld="3" item="28"/>
        </tpls>
      </query>
      <query mdx="[Rizici].[hSkupineRiziciOsiguranja].[Rizik].&amp;[41]">
        <tpls c="1">
          <tpl fld="3" item="29"/>
        </tpls>
      </query>
      <query mdx="[Vrste osiguranja].[hSkupineVrsteOsiguranja].[Vrsta osiguranja].&amp;[16]">
        <tpls c="1">
          <tpl fld="12" item="2"/>
        </tpls>
      </query>
      <query mdx="[Rizici].[hSkupineRiziciOsiguranja].[Rizik].&amp;[9]">
        <tpls c="1">
          <tpl fld="3" item="30"/>
        </tpls>
      </query>
      <query mdx="[Rizici].[hSkupineRiziciOsiguranja].[Rizik].&amp;[19]">
        <tpls c="1">
          <tpl fld="3" item="31"/>
        </tpls>
      </query>
      <query mdx="[Vrste osiguranja].[hSkupineVrsteOsiguranja].[Vrsta osiguranja].&amp;[11]">
        <tpls c="1">
          <tpl fld="12" item="3"/>
        </tpls>
      </query>
      <query mdx="[Rizici].[hSkupineRiziciOsiguranja].[Rizik].&amp;[37]">
        <tpls c="1">
          <tpl fld="3" item="32"/>
        </tpls>
      </query>
      <query mdx="[Rizici].[hSkupineRiziciOsiguranja].[Rizik].&amp;[35]">
        <tpls c="1">
          <tpl fld="3" item="33"/>
        </tpls>
      </query>
      <query mdx="[Rizici].[hSkupineRiziciOsiguranja].[Rizik].&amp;[73]">
        <tpls c="1">
          <tpl fld="3" item="34"/>
        </tpls>
      </query>
      <query mdx="[Vrste osiguranja].[hSkupineVrsteOsiguranja].[Vrsta osiguranja].&amp;[21]">
        <tpls c="1">
          <tpl fld="12" item="4"/>
        </tpls>
      </query>
      <query mdx="[Rizici].[hSkupineRiziciOsiguranja].[Rizik].&amp;[14]">
        <tpls c="1">
          <tpl fld="3" item="35"/>
        </tpls>
      </query>
      <query mdx="[Rizici].[hSkupineRiziciOsiguranja].[Rizik].&amp;[7]">
        <tpls c="1">
          <tpl fld="3" item="36"/>
        </tpls>
      </query>
      <query mdx="[Rizici].[hSkupineRiziciOsiguranja].[Rizik].&amp;[67]">
        <tpls c="1">
          <tpl fld="3" item="37"/>
        </tpls>
      </query>
      <query mdx="[Rizici].[hSkupineRiziciOsiguranja].[Rizik].&amp;[86]">
        <tpls c="1">
          <tpl fld="3" item="38"/>
        </tpls>
      </query>
      <query mdx="[Rizici].[hSkupineRiziciOsiguranja].[Rizik].&amp;[50]">
        <tpls c="1">
          <tpl fld="3" item="39"/>
        </tpls>
      </query>
      <query mdx="[Rizici].[hSkupineRiziciOsiguranja].[Rizik].&amp;[30]">
        <tpls c="1">
          <tpl fld="3" item="40"/>
        </tpls>
      </query>
      <query mdx="[Rizici].[hSkupineRiziciOsiguranja].[Rizik].&amp;[51]">
        <tpls c="1">
          <tpl fld="3" item="41"/>
        </tpls>
      </query>
      <query mdx="[Rizici].[hSkupineRiziciOsiguranja].[Rizik].&amp;[47]">
        <tpls c="1">
          <tpl fld="3" item="42"/>
        </tpls>
      </query>
      <query mdx="[Rizici].[hSkupineRiziciOsiguranja].[Rizik].&amp;[71]">
        <tpls c="1">
          <tpl fld="3" item="43"/>
        </tpls>
      </query>
      <query mdx="[Vrste osiguranja].[hSkupineVrsteOsiguranja].[Vrsta osiguranja].&amp;[2]">
        <tpls c="1">
          <tpl fld="12" item="5"/>
        </tpls>
      </query>
      <query mdx="[Rizici].[hSkupineRiziciOsiguranja].[Rizik].&amp;[80]">
        <tpls c="1">
          <tpl fld="3" item="44"/>
        </tpls>
      </query>
      <query mdx="[Vrste osiguranja].[hSkupineVrsteOsiguranja].[Vrsta osiguranja].&amp;[12]">
        <tpls c="1">
          <tpl fld="12" item="6"/>
        </tpls>
      </query>
      <query mdx="[Rizici].[hSkupineRiziciOsiguranja].[Rizik].&amp;[76]">
        <tpls c="1">
          <tpl fld="3" item="45"/>
        </tpls>
      </query>
      <query mdx="[Rizici].[hSkupineRiziciOsiguranja].[Rizik].&amp;[93]">
        <tpls c="1">
          <tpl fld="3" item="46"/>
        </tpls>
      </query>
      <query mdx="[Vrste osiguranja].[hSkupineVrsteOsiguranja].[Vrsta osiguranja].&amp;[18]">
        <tpls c="1">
          <tpl fld="12" item="7"/>
        </tpls>
      </query>
      <query mdx="[Rizici].[hSkupineRiziciOsiguranja].[Rizik].&amp;[60]">
        <tpls c="1">
          <tpl fld="3" item="47"/>
        </tpls>
      </query>
      <query mdx="[Rizici].[hSkupineRiziciOsiguranja].[Rizik].&amp;[49]">
        <tpls c="1">
          <tpl fld="3" item="48"/>
        </tpls>
      </query>
      <query mdx="[Rizici].[hSkupineRiziciOsiguranja].[Rizik].&amp;[95]">
        <tpls c="1">
          <tpl fld="3" item="49"/>
        </tpls>
      </query>
      <query mdx="[Vrste osiguranja].[hSkupineVrsteOsiguranja].[Sve]">
        <tpls c="1">
          <tpl hier="68" item="4294967295"/>
        </tpls>
      </query>
      <query mdx="[Rizici].[hSkupineRiziciOsiguranja].[Rizik].&amp;[79]">
        <tpls c="1">
          <tpl fld="3" item="50"/>
        </tpls>
      </query>
      <query mdx="[Rizici].[hSkupineRiziciOsiguranja].[Rizik].&amp;[56]">
        <tpls c="1">
          <tpl fld="3" item="51"/>
        </tpls>
      </query>
      <query mdx="[Rizici].[hSkupineRiziciOsiguranja].[Rizik].&amp;[83]">
        <tpls c="1">
          <tpl fld="3" item="52"/>
        </tpls>
      </query>
      <query mdx="[Vrste osiguranja].[hSkupineVrsteOsiguranja].[Vrsta osiguranja].&amp;[14]">
        <tpls c="1">
          <tpl fld="12" item="8"/>
        </tpls>
      </query>
      <query mdx="[Rizici].[hSkupineRiziciOsiguranja].[Rizik].&amp;[114]">
        <tpls c="1">
          <tpl fld="3" item="53"/>
        </tpls>
      </query>
      <query mdx="[Rizici].[hSkupineRiziciOsiguranja].[Rizik].&amp;[10]">
        <tpls c="1">
          <tpl fld="3" item="54"/>
        </tpls>
      </query>
      <query mdx="[Rizici].[hSkupineRiziciOsiguranja].[Rizik].&amp;[98]">
        <tpls c="1">
          <tpl fld="3" item="55"/>
        </tpls>
      </query>
      <query mdx="[Rizici].[hSkupineRiziciOsiguranja].[Rizik].&amp;[75]">
        <tpls c="1">
          <tpl fld="3" item="56"/>
        </tpls>
      </query>
      <query mdx="[Rizici].[hSkupineRiziciOsiguranja].[Rizik].&amp;[6]">
        <tpls c="1">
          <tpl fld="3" item="57"/>
        </tpls>
      </query>
      <query mdx="[Rizici].[hSkupineRiziciOsiguranja].[Rizik].&amp;[2]">
        <tpls c="1">
          <tpl fld="3" item="58"/>
        </tpls>
      </query>
      <query mdx="[Rizici].[hSkupineRiziciOsiguranja].[Rizik].&amp;[28]">
        <tpls c="1">
          <tpl fld="3" item="59"/>
        </tpls>
      </query>
      <query mdx="[Vrste osiguranja].[hSkupineVrsteOsiguranja].[Vrsta osiguranja].&amp;[23]">
        <tpls c="1">
          <tpl fld="12" item="9"/>
        </tpls>
      </query>
      <query mdx="[Rizici].[hSkupineRiziciOsiguranja].[Rizik].&amp;[84]">
        <tpls c="1">
          <tpl fld="3" item="60"/>
        </tpls>
      </query>
      <query mdx="[Rizici].[hSkupineRiziciOsiguranja].[Rizik].&amp;[27]">
        <tpls c="1">
          <tpl fld="3" item="61"/>
        </tpls>
      </query>
      <query mdx="[Rizici].[hSkupineRiziciOsiguranja].[Rizik].&amp;[88]">
        <tpls c="1">
          <tpl fld="3" item="62"/>
        </tpls>
      </query>
      <query mdx="[Rizici].[hSkupineRiziciOsiguranja].[Rizik].&amp;[44]">
        <tpls c="1">
          <tpl fld="3" item="63"/>
        </tpls>
      </query>
      <query mdx="[Rizici].[hSkupineRiziciOsiguranja].[Rizik].&amp;[109]">
        <tpls c="1">
          <tpl fld="3" item="64"/>
        </tpls>
      </query>
      <query mdx="[Rizici].[hSkupineRiziciOsiguranja].[Rizik].&amp;[81]">
        <tpls c="1">
          <tpl fld="3" item="65"/>
        </tpls>
      </query>
      <query mdx="[Rizici].[hSkupineRiziciOsiguranja].[Rizik].&amp;[110]">
        <tpls c="1">
          <tpl fld="3" item="66"/>
        </tpls>
      </query>
      <query mdx="[Vrste osiguranja].[hSkupineVrsteOsiguranja].[Vrsta osiguranja].&amp;[7]">
        <tpls c="1">
          <tpl fld="12" item="10"/>
        </tpls>
      </query>
      <query mdx="[Rizici].[hSkupineRiziciOsiguranja].[Rizik].&amp;[39]">
        <tpls c="1">
          <tpl fld="3" item="67"/>
        </tpls>
      </query>
      <query mdx="[Rizici].[hSkupineRiziciOsiguranja].[Rizik].&amp;[48]">
        <tpls c="1">
          <tpl fld="3" item="68"/>
        </tpls>
      </query>
      <query mdx="[Rizici].[hSkupineRiziciOsiguranja].[Rizik].&amp;[77]">
        <tpls c="1">
          <tpl fld="3" item="69"/>
        </tpls>
      </query>
      <query mdx="[Rizici].[hSkupineRiziciOsiguranja].[Rizik].&amp;[66]">
        <tpls c="1">
          <tpl fld="3" item="70"/>
        </tpls>
      </query>
      <query mdx="[Rizici].[hSkupineRiziciOsiguranja].[Rizik].&amp;[43]">
        <tpls c="1">
          <tpl fld="3" item="71"/>
        </tpls>
      </query>
      <query mdx="[Vrste osiguranja].[hSkupineVrsteOsiguranja].[Vrsta osiguranja].&amp;[3]">
        <tpls c="1">
          <tpl fld="12" item="11"/>
        </tpls>
      </query>
      <query mdx="[Rizici].[hSkupineRiziciOsiguranja].[Rizik].&amp;[89]">
        <tpls c="1">
          <tpl fld="3" item="72"/>
        </tpls>
      </query>
      <query mdx="[Rizici].[hSkupineRiziciOsiguranja].[Rizik].&amp;[16]">
        <tpls c="1">
          <tpl fld="3" item="73"/>
        </tpls>
      </query>
      <query mdx="[Rizici].[hSkupineRiziciOsiguranja].[Rizik].&amp;[78]">
        <tpls c="1">
          <tpl fld="3" item="74"/>
        </tpls>
      </query>
      <query mdx="[Vrste osiguranja].[hSkupineVrsteOsiguranja].[Skupina osiguranja].&amp;[1]">
        <tpls c="1">
          <tpl fld="11" item="0"/>
        </tpls>
      </query>
      <query mdx="[Rizici].[hSkupineRiziciOsiguranja].[Rizik].&amp;[90]">
        <tpls c="1">
          <tpl fld="3" item="75"/>
        </tpls>
      </query>
      <query mdx="[Rizici].[hSkupineRiziciOsiguranja].[Rizik].&amp;[5]">
        <tpls c="1">
          <tpl fld="3" item="76"/>
        </tpls>
      </query>
      <query mdx="[Rizici].[hSkupineRiziciOsiguranja].[Rizik].&amp;[85]">
        <tpls c="1">
          <tpl fld="3" item="77"/>
        </tpls>
      </query>
      <query mdx="[Rizici].[hSkupineRiziciOsiguranja].[Rizik].&amp;[45]">
        <tpls c="1">
          <tpl fld="3" item="78"/>
        </tpls>
      </query>
      <query mdx="[Rizici].[hSkupineRiziciOsiguranja].[Rizik].&amp;[24]">
        <tpls c="1">
          <tpl fld="3" item="79"/>
        </tpls>
      </query>
      <query mdx="[Vrste osiguranja].[hSkupineVrsteOsiguranja].[Vrsta osiguranja].&amp;[8]">
        <tpls c="1">
          <tpl fld="12" item="12"/>
        </tpls>
      </query>
      <query mdx="[Rizici].[hSkupineRiziciOsiguranja].[Rizik].&amp;[38]">
        <tpls c="1">
          <tpl fld="3" item="80"/>
        </tpls>
      </query>
      <query mdx="[Rizici].[hSkupineRiziciOsiguranja].[Rizik].&amp;[111]">
        <tpls c="1">
          <tpl fld="3" item="81"/>
        </tpls>
      </query>
      <query mdx="[Rizici].[hSkupineRiziciOsiguranja].[Rizik].&amp;[65]">
        <tpls c="1">
          <tpl fld="3" item="82"/>
        </tpls>
      </query>
      <query mdx="[Rizici].[hSkupineRiziciOsiguranja].[Rizik].&amp;[20]">
        <tpls c="1">
          <tpl fld="3" item="83"/>
        </tpls>
      </query>
      <query mdx="[Rizici].[hSkupineRiziciOsiguranja].[Rizik].&amp;[96]">
        <tpls c="1">
          <tpl fld="3" item="84"/>
        </tpls>
      </query>
      <query mdx="[Rizici].[hSkupineRiziciOsiguranja].[Rizik].&amp;[29]">
        <tpls c="1">
          <tpl fld="3" item="85"/>
        </tpls>
      </query>
      <query mdx="[Rizici].[hSkupineRiziciOsiguranja].[Rizik].&amp;[97]">
        <tpls c="1">
          <tpl fld="3" item="86"/>
        </tpls>
      </query>
      <query mdx="[Rizici].[hSkupineRiziciOsiguranja].[Rizik].&amp;[1]">
        <tpls c="1">
          <tpl fld="3" item="87"/>
        </tpls>
      </query>
      <query mdx="[Rizici].[hSkupineRiziciOsiguranja].[Rizik].&amp;[21]">
        <tpls c="1">
          <tpl fld="3" item="88"/>
        </tpls>
      </query>
      <query mdx="[Rizici].[hSkupineRiziciOsiguranja].[Rizik].&amp;[36]">
        <tpls c="1">
          <tpl fld="3" item="89"/>
        </tpls>
      </query>
      <query mdx="[Rizici].[hSkupineRiziciOsiguranja].[Rizik].&amp;[113]">
        <tpls c="1">
          <tpl fld="3" item="90"/>
        </tpls>
      </query>
      <query mdx="[Rizici].[hSkupineRiziciOsiguranja].[Rizik].&amp;[62]">
        <tpls c="1">
          <tpl fld="3" item="91"/>
        </tpls>
      </query>
      <query mdx="[Rizici].[hSkupineRiziciOsiguranja].[Rizik].&amp;[112]">
        <tpls c="1">
          <tpl fld="3" item="92"/>
        </tpls>
      </query>
      <query mdx="[Rizici].[hSkupineRiziciOsiguranja].[Rizik].&amp;[22]">
        <tpls c="1">
          <tpl fld="3" item="93"/>
        </tpls>
      </query>
      <query mdx="[Rizici].[hSkupineRiziciOsiguranja].[Rizik].&amp;[31]">
        <tpls c="1">
          <tpl fld="3" item="94"/>
        </tpls>
      </query>
      <query mdx="[Rizici].[hSkupineRiziciOsiguranja].[Rizik].&amp;[74]">
        <tpls c="1">
          <tpl fld="3" item="95"/>
        </tpls>
      </query>
      <query mdx="[Rizici].[hSkupineRiziciOsiguranja].[Rizik].&amp;[87]">
        <tpls c="1">
          <tpl fld="3" item="96"/>
        </tpls>
      </query>
      <query mdx="[Rizici].[hSkupineRiziciOsiguranja].[Rizik].&amp;[58]">
        <tpls c="1">
          <tpl fld="3" item="97"/>
        </tpls>
      </query>
      <query mdx="[Rizici].[hSkupineRiziciOsiguranja].[Rizik].&amp;[25]">
        <tpls c="1">
          <tpl fld="3" item="98"/>
        </tpls>
      </query>
      <query mdx="[Rizici].[hSkupineRiziciOsiguranja].[Rizik].&amp;[17]">
        <tpls c="1">
          <tpl fld="3" item="99"/>
        </tpls>
      </query>
      <query mdx="[Rizici].[hSkupineRiziciOsiguranja].[Rizik].&amp;[4]">
        <tpls c="1">
          <tpl fld="3" item="100"/>
        </tpls>
      </query>
      <query mdx="[Rizici].[hSkupineRiziciOsiguranja].[Rizik].&amp;[33]">
        <tpls c="1">
          <tpl fld="3" item="101"/>
        </tpls>
      </query>
      <query mdx="[Vrste osiguranja].[hSkupineVrsteOsiguranja].[Vrsta osiguranja].&amp;[17]">
        <tpls c="1">
          <tpl fld="12" item="13"/>
        </tpls>
      </query>
      <query mdx="[Rizici].[hSkupineRiziciOsiguranja].[Rizik].&amp;[23]">
        <tpls c="1">
          <tpl fld="3" item="102"/>
        </tpls>
      </query>
      <query mdx="[Vrste osiguranja].[hSkupineVrsteOsiguranja].[Vrsta osiguranja].&amp;[24]">
        <tpls c="1">
          <tpl fld="12" item="14"/>
        </tpls>
      </query>
      <query mdx="[Rizici].[hSkupineRiziciOsiguranja].[Rizik].&amp;[26]">
        <tpls c="1">
          <tpl fld="3" item="103"/>
        </tpls>
      </query>
      <query mdx="[Rizici].[hSkupineRiziciOsiguranja].[Rizik].&amp;[100]">
        <tpls c="1">
          <tpl fld="3" item="104"/>
        </tpls>
      </query>
      <query mdx="[Vrste osiguranja].[hSkupineVrsteOsiguranja].[Vrsta osiguranja].&amp;[1]">
        <tpls c="1">
          <tpl fld="12" item="15"/>
        </tpls>
      </query>
      <query mdx="[Vrste osiguranja].[hSkupineVrsteOsiguranja].[Vrsta osiguranja].&amp;[19]">
        <tpls c="1">
          <tpl fld="12" item="16"/>
        </tpls>
      </query>
      <query mdx="[Vrste osiguranja].[hSkupineVrsteOsiguranja].[Skupina osiguranja].&amp;[2]">
        <tpls c="1">
          <tpl fld="11" item="1"/>
        </tpls>
      </query>
      <query mdx="[Vrste osiguranja].[hSkupineVrsteOsiguranja].[Vrsta osiguranja].&amp;[25]">
        <tpls c="1">
          <tpl fld="12" item="17"/>
        </tpls>
      </query>
      <query mdx="[Vrste osiguranja].[hSkupineVrsteOsiguranja].[Vrsta osiguranja].&amp;[6]">
        <tpls c="1">
          <tpl fld="12" item="18"/>
        </tpls>
      </query>
      <query mdx="[Rizici].[hSkupineRiziciOsiguranja].[Rizik].&amp;[32]">
        <tpls c="1">
          <tpl fld="3" item="105"/>
        </tpls>
      </query>
      <query mdx="[Rizici].[hSkupineRiziciOsiguranja].[Rizik].&amp;[94]">
        <tpls c="1">
          <tpl fld="3" item="106"/>
        </tpls>
      </query>
      <query mdx="[Vrste osiguranja].[hSkupineVrsteOsiguranja].[Vrsta osiguranja].&amp;[9]">
        <tpls c="1">
          <tpl fld="12" item="19"/>
        </tpls>
      </query>
      <query mdx="[Rizici].[hSkupineRiziciOsiguranja].[Rizik].&amp;[69]">
        <tpls c="1">
          <tpl fld="3" item="107"/>
        </tpls>
      </query>
      <query mdx="[Rizici].[hSkupineRiziciOsiguranja].[Rizik].&amp;[12]">
        <tpls c="1">
          <tpl fld="3" item="108"/>
        </tpls>
      </query>
      <query mdx="[Vrste osiguranja].[hSkupineVrsteOsiguranja].[Vrsta osiguranja].&amp;[10]">
        <tpls c="1">
          <tpl fld="12" item="20"/>
        </tpls>
      </query>
      <query mdx="[Rizici].[hSkupineRiziciOsiguranja].[Rizik].&amp;[34]">
        <tpls c="1">
          <tpl fld="3" item="109"/>
        </tpls>
      </query>
      <query mdx="[Rizici].[hSkupineRiziciOsiguranja].[Rizik].&amp;[108]">
        <tpls c="1">
          <tpl fld="3" item="110"/>
        </tpls>
      </query>
      <query mdx="[Vrste osiguranja].[hSkupineVrsteOsiguranja].[Vrsta osiguranja].&amp;[20]">
        <tpls c="1">
          <tpl fld="12" item="21"/>
        </tpls>
      </query>
      <query mdx="[Rizici].[hSkupineRiziciOsiguranja].[Rizik].&amp;[52]">
        <tpls c="1">
          <tpl fld="3" item="111"/>
        </tpls>
      </query>
      <query mdx="[Vrste osiguranja].[hSkupineVrsteOsiguranja].[Vrsta osiguranja].&amp;[4]">
        <tpls c="1">
          <tpl fld="12" item="22"/>
        </tpls>
      </query>
      <query mdx="[Vrste osiguranja].[hSkupineVrsteOsiguranja].[Vrsta osiguranja].&amp;[5]">
        <tpls c="1">
          <tpl fld="12" item="23"/>
        </tpls>
      </query>
      <query mdx="[Vrste osiguranja].[hSkupineVrsteOsiguranja].[Vrsta osiguranja].&amp;[13]">
        <tpls c="1">
          <tpl fld="12" item="24"/>
        </tpls>
      </query>
    </queryCache>
    <serverFormats count="2">
      <serverFormat format="#,##0.00"/>
      <serverFormat format="#,##0"/>
    </serverFormats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queryTables/queryTable1.xml><?xml version="1.0" encoding="utf-8"?>
<queryTable xmlns="http://schemas.openxmlformats.org/spreadsheetml/2006/main" name="Query from SQL Server 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Drustvo" tableColumnId="1"/>
      <queryTableField id="2" name="NazivDrustva" tableColumnId="2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1" displayName="Table1" ref="I1:J17" totalsRowShown="0">
  <autoFilter ref="I1:J17"/>
  <tableColumns count="2">
    <tableColumn id="2" name="MjesecOznaka"/>
    <tableColumn id="3" name="MjesecNaziv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_Query_from_SQL_Server" displayName="Table_Query_from_SQL_Server" ref="A2:B43" tableType="queryTable" totalsRowShown="0">
  <autoFilter ref="A2:B43"/>
  <tableColumns count="2">
    <tableColumn id="1" uniqueName="1" name="IDDrustvo" queryTableFieldId="1"/>
    <tableColumn id="2" uniqueName="2" name="NazivDrustva" queryTableField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32"/>
  <sheetViews>
    <sheetView showGridLines="0" tabSelected="1" zoomScale="90" zoomScaleNormal="90" workbookViewId="0">
      <selection activeCell="B5" sqref="B5"/>
    </sheetView>
  </sheetViews>
  <sheetFormatPr defaultColWidth="8.69921875" defaultRowHeight="14.4" x14ac:dyDescent="0.3"/>
  <cols>
    <col min="1" max="16384" width="8.69921875" style="108"/>
  </cols>
  <sheetData>
    <row r="1" spans="1:17" ht="26.05" x14ac:dyDescent="0.55000000000000004">
      <c r="A1" s="344" t="s">
        <v>69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17" ht="14.95" x14ac:dyDescent="0.25">
      <c r="A2" s="345"/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6" spans="1:17" ht="18.3" x14ac:dyDescent="0.4">
      <c r="A6" s="342" t="s">
        <v>70</v>
      </c>
      <c r="B6" s="342"/>
      <c r="C6" s="342"/>
      <c r="D6" s="342"/>
      <c r="E6" s="342"/>
      <c r="F6" s="40"/>
      <c r="G6" s="40"/>
      <c r="H6" s="40"/>
      <c r="I6" s="40"/>
      <c r="J6" s="40"/>
      <c r="K6" s="40"/>
    </row>
    <row r="7" spans="1:17" x14ac:dyDescent="0.3">
      <c r="B7" s="109">
        <v>1</v>
      </c>
      <c r="C7" s="40"/>
      <c r="D7" s="343" t="s">
        <v>121</v>
      </c>
      <c r="E7" s="343"/>
      <c r="F7" s="343"/>
      <c r="G7" s="343"/>
      <c r="H7" s="343"/>
      <c r="I7" s="343"/>
      <c r="J7" s="343"/>
      <c r="K7" s="343"/>
      <c r="L7" s="343"/>
      <c r="M7" s="343"/>
      <c r="N7" s="343"/>
      <c r="O7" s="343"/>
      <c r="P7" s="343"/>
    </row>
    <row r="8" spans="1:17" x14ac:dyDescent="0.3">
      <c r="B8" s="109">
        <v>2</v>
      </c>
      <c r="C8" s="40"/>
      <c r="D8" s="341" t="s">
        <v>122</v>
      </c>
      <c r="E8" s="341"/>
      <c r="F8" s="341"/>
      <c r="G8" s="341"/>
      <c r="H8" s="341"/>
      <c r="I8" s="341"/>
      <c r="J8" s="341"/>
      <c r="K8" s="341"/>
      <c r="L8" s="341"/>
      <c r="M8" s="341"/>
      <c r="N8" s="341"/>
      <c r="O8" s="341"/>
      <c r="P8" s="341"/>
    </row>
    <row r="9" spans="1:17" x14ac:dyDescent="0.3">
      <c r="B9" s="109">
        <v>3</v>
      </c>
      <c r="C9" s="40"/>
      <c r="D9" s="341" t="s">
        <v>123</v>
      </c>
      <c r="E9" s="341"/>
      <c r="F9" s="341"/>
      <c r="G9" s="341"/>
      <c r="H9" s="341"/>
      <c r="I9" s="341"/>
      <c r="J9" s="341"/>
      <c r="K9" s="341"/>
      <c r="L9" s="40"/>
      <c r="M9" s="40"/>
      <c r="N9" s="40"/>
      <c r="O9" s="40"/>
      <c r="P9" s="40"/>
    </row>
    <row r="10" spans="1:17" x14ac:dyDescent="0.3">
      <c r="B10" s="109">
        <v>4</v>
      </c>
      <c r="C10" s="40"/>
      <c r="D10" s="341" t="s">
        <v>124</v>
      </c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</row>
    <row r="11" spans="1:17" x14ac:dyDescent="0.3">
      <c r="B11" s="109">
        <v>5</v>
      </c>
      <c r="C11" s="40"/>
      <c r="D11" s="341" t="s">
        <v>125</v>
      </c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</row>
    <row r="12" spans="1:17" x14ac:dyDescent="0.3">
      <c r="B12" s="109">
        <v>6</v>
      </c>
      <c r="C12" s="40"/>
      <c r="D12" s="341" t="s">
        <v>126</v>
      </c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</row>
    <row r="13" spans="1:17" x14ac:dyDescent="0.3">
      <c r="B13" s="109">
        <v>7</v>
      </c>
      <c r="C13" s="40"/>
      <c r="D13" s="341" t="s">
        <v>127</v>
      </c>
      <c r="E13" s="341"/>
      <c r="F13" s="341"/>
      <c r="G13" s="341"/>
      <c r="H13" s="341"/>
      <c r="I13" s="341"/>
      <c r="J13" s="341"/>
      <c r="K13" s="341"/>
      <c r="L13" s="341"/>
      <c r="M13" s="341"/>
      <c r="N13" s="341"/>
      <c r="O13" s="341"/>
      <c r="P13" s="341"/>
    </row>
    <row r="14" spans="1:17" x14ac:dyDescent="0.3">
      <c r="B14" s="109">
        <v>8</v>
      </c>
      <c r="C14" s="40"/>
      <c r="D14" s="341" t="s">
        <v>128</v>
      </c>
      <c r="E14" s="341"/>
      <c r="F14" s="341"/>
      <c r="G14" s="341"/>
      <c r="H14" s="341"/>
      <c r="I14" s="341"/>
      <c r="J14" s="341"/>
      <c r="K14" s="341"/>
      <c r="L14" s="341"/>
      <c r="M14" s="341"/>
      <c r="N14" s="341"/>
      <c r="O14" s="341"/>
      <c r="P14" s="341"/>
    </row>
    <row r="15" spans="1:17" x14ac:dyDescent="0.3">
      <c r="B15" s="109">
        <v>9</v>
      </c>
      <c r="C15" s="40"/>
      <c r="D15" s="341" t="s">
        <v>129</v>
      </c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</row>
    <row r="16" spans="1:17" x14ac:dyDescent="0.3">
      <c r="B16" s="109">
        <v>10</v>
      </c>
      <c r="C16" s="40"/>
      <c r="D16" s="341" t="s">
        <v>130</v>
      </c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</row>
    <row r="17" spans="1:16" x14ac:dyDescent="0.3">
      <c r="B17" s="109">
        <v>11</v>
      </c>
      <c r="C17" s="40"/>
      <c r="D17" s="341" t="s">
        <v>131</v>
      </c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41"/>
      <c r="P17" s="341"/>
    </row>
    <row r="18" spans="1:16" x14ac:dyDescent="0.3">
      <c r="B18" s="109">
        <v>12</v>
      </c>
      <c r="C18" s="40"/>
      <c r="D18" s="341" t="s">
        <v>132</v>
      </c>
      <c r="E18" s="341"/>
      <c r="F18" s="341"/>
      <c r="G18" s="341"/>
      <c r="H18" s="341"/>
      <c r="I18" s="341"/>
      <c r="J18" s="341"/>
      <c r="K18" s="341"/>
      <c r="L18" s="341"/>
      <c r="M18" s="341"/>
      <c r="N18" s="341"/>
      <c r="O18" s="341"/>
      <c r="P18" s="341"/>
    </row>
    <row r="19" spans="1:16" x14ac:dyDescent="0.3">
      <c r="B19" s="109">
        <v>13</v>
      </c>
      <c r="C19" s="40"/>
      <c r="D19" s="341" t="s">
        <v>133</v>
      </c>
      <c r="E19" s="341"/>
      <c r="F19" s="341"/>
      <c r="G19" s="341"/>
      <c r="H19" s="341"/>
      <c r="I19" s="341"/>
      <c r="J19" s="341"/>
      <c r="K19" s="341"/>
      <c r="L19" s="341"/>
      <c r="M19" s="341"/>
      <c r="N19" s="341"/>
      <c r="O19" s="341"/>
      <c r="P19" s="341"/>
    </row>
    <row r="20" spans="1:16" x14ac:dyDescent="0.3">
      <c r="B20" s="109">
        <v>14</v>
      </c>
      <c r="C20" s="40"/>
      <c r="D20" s="341" t="s">
        <v>134</v>
      </c>
      <c r="E20" s="341"/>
      <c r="F20" s="341"/>
      <c r="G20" s="341"/>
      <c r="H20" s="341"/>
      <c r="I20" s="341"/>
      <c r="J20" s="341"/>
      <c r="K20" s="341"/>
      <c r="L20" s="341"/>
      <c r="M20" s="341"/>
      <c r="N20" s="341"/>
      <c r="O20" s="341"/>
      <c r="P20" s="341"/>
    </row>
    <row r="21" spans="1:16" x14ac:dyDescent="0.3">
      <c r="B21" s="109">
        <v>15</v>
      </c>
      <c r="C21" s="40"/>
      <c r="D21" s="341" t="s">
        <v>133</v>
      </c>
      <c r="E21" s="341"/>
      <c r="F21" s="341"/>
      <c r="G21" s="341"/>
      <c r="H21" s="341"/>
      <c r="I21" s="341"/>
      <c r="J21" s="341"/>
      <c r="K21" s="341"/>
      <c r="L21" s="341"/>
      <c r="M21" s="341"/>
      <c r="N21" s="341"/>
      <c r="O21" s="341"/>
      <c r="P21" s="341"/>
    </row>
    <row r="22" spans="1:16" x14ac:dyDescent="0.3">
      <c r="B22" s="109">
        <v>16</v>
      </c>
      <c r="C22" s="40"/>
      <c r="D22" s="341" t="s">
        <v>134</v>
      </c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</row>
    <row r="23" spans="1:16" x14ac:dyDescent="0.3">
      <c r="B23" s="109">
        <v>17</v>
      </c>
      <c r="C23" s="40"/>
      <c r="D23" s="341" t="s">
        <v>135</v>
      </c>
      <c r="E23" s="341"/>
      <c r="F23" s="341"/>
      <c r="G23" s="341"/>
      <c r="H23" s="341"/>
      <c r="I23" s="341"/>
      <c r="J23" s="341"/>
      <c r="K23" s="341"/>
      <c r="L23" s="341"/>
      <c r="M23" s="341"/>
      <c r="N23" s="341"/>
      <c r="O23" s="341"/>
      <c r="P23" s="341"/>
    </row>
    <row r="24" spans="1:16" x14ac:dyDescent="0.3">
      <c r="B24" s="109">
        <v>18</v>
      </c>
      <c r="C24" s="40"/>
      <c r="D24" s="341" t="s">
        <v>136</v>
      </c>
      <c r="E24" s="341"/>
      <c r="F24" s="341"/>
      <c r="G24" s="341"/>
      <c r="H24" s="341"/>
      <c r="I24" s="341"/>
      <c r="J24" s="341"/>
      <c r="K24" s="341"/>
      <c r="L24" s="341"/>
      <c r="M24" s="341"/>
      <c r="N24" s="341"/>
      <c r="O24" s="341"/>
      <c r="P24" s="341"/>
    </row>
    <row r="25" spans="1:16" x14ac:dyDescent="0.3">
      <c r="B25" s="109">
        <v>19</v>
      </c>
      <c r="D25" s="341" t="s">
        <v>137</v>
      </c>
      <c r="E25" s="341"/>
      <c r="F25" s="341"/>
      <c r="G25" s="341"/>
      <c r="H25" s="341"/>
      <c r="I25" s="341"/>
      <c r="J25" s="341"/>
      <c r="K25" s="341"/>
      <c r="L25" s="341"/>
      <c r="M25" s="341"/>
      <c r="N25" s="341"/>
      <c r="O25" s="341"/>
      <c r="P25" s="341"/>
    </row>
    <row r="26" spans="1:16" x14ac:dyDescent="0.3">
      <c r="B26" s="109">
        <v>20</v>
      </c>
      <c r="D26" s="341" t="s">
        <v>138</v>
      </c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</row>
    <row r="27" spans="1:16" x14ac:dyDescent="0.3">
      <c r="B27" s="109">
        <v>21</v>
      </c>
      <c r="D27" s="341" t="s">
        <v>139</v>
      </c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</row>
    <row r="28" spans="1:16" x14ac:dyDescent="0.3">
      <c r="B28" s="109">
        <v>22</v>
      </c>
      <c r="D28" s="341" t="s">
        <v>140</v>
      </c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</row>
    <row r="32" spans="1:16" x14ac:dyDescent="0.3">
      <c r="A32" s="108" t="s">
        <v>120</v>
      </c>
    </row>
  </sheetData>
  <mergeCells count="25">
    <mergeCell ref="A1:Q1"/>
    <mergeCell ref="A2:Q2"/>
    <mergeCell ref="D9:K9"/>
    <mergeCell ref="D10:P10"/>
    <mergeCell ref="D11:P11"/>
    <mergeCell ref="D12:P12"/>
    <mergeCell ref="D13:P13"/>
    <mergeCell ref="A6:E6"/>
    <mergeCell ref="D7:P7"/>
    <mergeCell ref="D8:P8"/>
    <mergeCell ref="D14:P14"/>
    <mergeCell ref="D15:P15"/>
    <mergeCell ref="D16:P16"/>
    <mergeCell ref="D17:P17"/>
    <mergeCell ref="D18:P18"/>
    <mergeCell ref="D19:P19"/>
    <mergeCell ref="D20:P20"/>
    <mergeCell ref="D21:P21"/>
    <mergeCell ref="D22:P22"/>
    <mergeCell ref="D23:P23"/>
    <mergeCell ref="D24:P24"/>
    <mergeCell ref="D25:P25"/>
    <mergeCell ref="D26:P26"/>
    <mergeCell ref="D27:P27"/>
    <mergeCell ref="D28:P28"/>
  </mergeCells>
  <hyperlinks>
    <hyperlink ref="B7" location="'Društva-ž+n-ZBP'!A1" display="'Društva-ž+n-ZBP'!A1"/>
    <hyperlink ref="B8" location="'Društva-BROJ OSIG.'!A1" display="'Društva-BROJ OSIG.'!A1"/>
    <hyperlink ref="B9" location="'Skupni-premija-NO+ŽO-08-07'!A1" display="'Skupni-premija-NO+ŽO-08-07'!A1"/>
    <hyperlink ref="B10" location="'Skupni-br.osig.-NO+ŽO-07-08'!A1" display="'Skupni-br.osig.-NO+ŽO-07-08'!A1"/>
    <hyperlink ref="B11" location="'Skupni-br.šteta.-07-08'!A1" display="'Skupni-br.šteta.-07-08'!A1"/>
    <hyperlink ref="B12" location="'Skupni-likv.štete-kn-08-07'!A1" display="'Skupni-likv.štete-kn-08-07'!A1"/>
    <hyperlink ref="B13" location="'Skupni-premija-obvezna'!A1" display="'Skupni-premija-obvezna'!A1"/>
    <hyperlink ref="B14" location="'Skupni-štete-obvezna'!A1" display="'Skupni-štete-obvezna'!A1"/>
    <hyperlink ref="B15" location="'Skupni-premija-nezgoda i zdr.'!A1" display="'Skupni-premija-nezgoda i zdr.'!A1"/>
    <hyperlink ref="B16" location="'Skupni-štete-nezgoda i zdr.'!A1" display="'Skupni-štete-nezgoda i zdr.'!A1"/>
    <hyperlink ref="B17" location="'Skupni-premije-vrste-kasko'!A1" display="'Skupni-premije-vrste-kasko'!A1"/>
    <hyperlink ref="B18" location="'Skupni-štete-vrste-kasko'!A1" display="'Skupni-štete-vrste-kasko'!A1"/>
    <hyperlink ref="B19" location="'Skupni-premija-imovina'!A1" display="'Skupni-premija-imovina'!A1"/>
    <hyperlink ref="B20" location="'Skupni-štete-imovina'!A1" display="'Skupni-štete-imovina'!A1"/>
    <hyperlink ref="B21" location="'Skupni-premija-odgovornost'!A1" display="'Skupni-premija-odgovornost'!A1"/>
    <hyperlink ref="B22" location="'Skupni-štete-odgovornost'!A1" display="'Skupni-štete-odgovornost'!A1"/>
    <hyperlink ref="B23" location="'Skupni-premija-ostala odgov.'!A1" display="'Skupni-premija-ostala odgov.'!A1"/>
    <hyperlink ref="B24" location="'Skupni-štete-ostala odgov'!A1" display="'Skupni-štete-ostala odgov'!A1"/>
    <hyperlink ref="B25" location="'Skupni-premija-ostalo'!A1" display="'Skupni-premija-ostalo'!A1"/>
    <hyperlink ref="B26" location="'Skupni-štete-ostalo'!A1" display="'Skupni-štete-ostalo'!A1"/>
    <hyperlink ref="B27" location="'Skupni-premija-život'!A1" display="'Skupni-premija-život'!A1"/>
    <hyperlink ref="B28" location="'Skupni-štete-život'!A1" display="'Skupni-štete-život'!A1"/>
  </hyperlinks>
  <pageMargins left="0.7" right="0.7" top="0.75" bottom="0.75" header="0.3" footer="0.3"/>
  <pageSetup paperSize="9" scale="88" orientation="landscape" r:id="rId1"/>
  <customProperties>
    <customPr name="Version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6" tint="0.39997558519241921"/>
    <pageSetUpPr fitToPage="1"/>
  </sheetPr>
  <dimension ref="A1:Q24"/>
  <sheetViews>
    <sheetView showGridLines="0" topLeftCell="B1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8.296875" style="8" customWidth="1"/>
    <col min="3" max="3" width="19.296875" style="8" customWidth="1"/>
    <col min="4" max="4" width="12.59765625" style="8" bestFit="1" customWidth="1"/>
    <col min="5" max="5" width="19.296875" style="8" customWidth="1"/>
    <col min="6" max="6" width="10.59765625" style="8" bestFit="1" customWidth="1"/>
    <col min="7" max="7" width="15.69921875" style="8" bestFit="1" customWidth="1"/>
    <col min="8" max="8" width="15.296875" style="8" customWidth="1"/>
    <col min="9" max="9" width="10.59765625" style="8" bestFit="1" customWidth="1"/>
    <col min="10" max="10" width="15.296875" style="8" customWidth="1"/>
    <col min="11" max="11" width="10.59765625" style="8" bestFit="1" customWidth="1"/>
    <col min="12" max="12" width="15.69921875" style="8" bestFit="1" customWidth="1"/>
    <col min="13" max="16384" width="9.296875" style="8"/>
  </cols>
  <sheetData>
    <row r="1" spans="1:17" s="18" customFormat="1" ht="58.85" customHeight="1" x14ac:dyDescent="0.3">
      <c r="A1" s="18" t="s">
        <v>141</v>
      </c>
      <c r="B1" s="346" t="s">
        <v>293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</row>
    <row r="2" spans="1:17" s="18" customFormat="1" ht="13.3" x14ac:dyDescent="0.3">
      <c r="A2" s="11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7" ht="36" customHeight="1" x14ac:dyDescent="0.3"/>
    <row r="4" spans="1:17" x14ac:dyDescent="0.3">
      <c r="F4" s="90"/>
    </row>
    <row r="5" spans="1:17" ht="7.5" customHeight="1" thickBot="1" x14ac:dyDescent="0.4"/>
    <row r="6" spans="1:17" s="53" customFormat="1" ht="14.95" customHeight="1" x14ac:dyDescent="0.3">
      <c r="B6" s="369" t="s">
        <v>44</v>
      </c>
      <c r="C6" s="367" t="s">
        <v>37</v>
      </c>
      <c r="D6" s="367"/>
      <c r="E6" s="367"/>
      <c r="F6" s="367"/>
      <c r="G6" s="367"/>
      <c r="H6" s="367" t="s">
        <v>41</v>
      </c>
      <c r="I6" s="367"/>
      <c r="J6" s="367"/>
      <c r="K6" s="367"/>
      <c r="L6" s="368"/>
    </row>
    <row r="7" spans="1:17" s="54" customFormat="1" ht="14.95" thickBot="1" x14ac:dyDescent="0.35">
      <c r="B7" s="370"/>
      <c r="C7" s="6" t="s">
        <v>143</v>
      </c>
      <c r="D7" s="6" t="s">
        <v>45</v>
      </c>
      <c r="E7" s="6" t="s">
        <v>144</v>
      </c>
      <c r="F7" s="6" t="s">
        <v>45</v>
      </c>
      <c r="G7" s="6" t="s">
        <v>142</v>
      </c>
      <c r="H7" s="6" t="s">
        <v>143</v>
      </c>
      <c r="I7" s="6" t="s">
        <v>45</v>
      </c>
      <c r="J7" s="6" t="s">
        <v>144</v>
      </c>
      <c r="K7" s="6" t="s">
        <v>45</v>
      </c>
      <c r="L7" s="7" t="s">
        <v>142</v>
      </c>
    </row>
    <row r="8" spans="1:17" s="55" customFormat="1" ht="4.8499999999999996" customHeight="1" x14ac:dyDescent="0.3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</row>
    <row r="9" spans="1:17" ht="54" customHeight="1" x14ac:dyDescent="0.3">
      <c r="B9" s="9" t="s" vm="159">
        <v>218</v>
      </c>
      <c r="C9" s="165" vm="1588">
        <v>393666683.86000001</v>
      </c>
      <c r="D9" s="167">
        <v>99.48</v>
      </c>
      <c r="E9" s="165" vm="1891">
        <v>305320939.06</v>
      </c>
      <c r="F9" s="168">
        <v>99.37</v>
      </c>
      <c r="G9" s="171">
        <v>-22.441763151950767</v>
      </c>
      <c r="H9" s="165" vm="1112">
        <v>260694</v>
      </c>
      <c r="I9" s="168">
        <v>99.31</v>
      </c>
      <c r="J9" s="165" vm="1333">
        <v>267732</v>
      </c>
      <c r="K9" s="167">
        <v>99.29</v>
      </c>
      <c r="L9" s="169">
        <v>2.6997169094800739</v>
      </c>
    </row>
    <row r="10" spans="1:17" ht="54" customHeight="1" x14ac:dyDescent="0.3">
      <c r="B10" s="9" t="s" vm="99">
        <v>282</v>
      </c>
      <c r="C10" s="165" vm="1154">
        <v>1232132.93</v>
      </c>
      <c r="D10" s="167">
        <v>0.31</v>
      </c>
      <c r="E10" s="165" vm="848">
        <v>1072006.6000000001</v>
      </c>
      <c r="F10" s="168">
        <v>0.35</v>
      </c>
      <c r="G10" s="171">
        <v>-12.995864821176383</v>
      </c>
      <c r="H10" s="165" vm="1265">
        <v>477</v>
      </c>
      <c r="I10" s="168">
        <v>0.18</v>
      </c>
      <c r="J10" s="165" vm="965">
        <v>506</v>
      </c>
      <c r="K10" s="167">
        <v>0.19</v>
      </c>
      <c r="L10" s="169">
        <v>6.0796645702306193</v>
      </c>
    </row>
    <row r="11" spans="1:17" ht="54" customHeight="1" x14ac:dyDescent="0.3">
      <c r="B11" s="9" t="s" vm="137">
        <v>223</v>
      </c>
      <c r="C11" s="165" vm="897">
        <v>158959.55999999997</v>
      </c>
      <c r="D11" s="167">
        <v>0.04</v>
      </c>
      <c r="E11" s="165" vm="938">
        <v>128617.34</v>
      </c>
      <c r="F11" s="168">
        <v>0.04</v>
      </c>
      <c r="G11" s="171">
        <v>-19.088012070491374</v>
      </c>
      <c r="H11" s="165" vm="890">
        <v>11</v>
      </c>
      <c r="I11" s="168">
        <v>0</v>
      </c>
      <c r="J11" s="165" vm="1309">
        <v>12</v>
      </c>
      <c r="K11" s="167">
        <v>0</v>
      </c>
      <c r="L11" s="169">
        <v>9.0909090909090793</v>
      </c>
    </row>
    <row r="12" spans="1:17" ht="54" customHeight="1" x14ac:dyDescent="0.3">
      <c r="B12" s="9" t="s" vm="111">
        <v>228</v>
      </c>
      <c r="C12" s="165" vm="823">
        <v>684732.46</v>
      </c>
      <c r="D12" s="167">
        <v>0.17</v>
      </c>
      <c r="E12" s="165" vm="1380">
        <v>731141.42999999993</v>
      </c>
      <c r="F12" s="168">
        <v>0.24</v>
      </c>
      <c r="G12" s="171">
        <v>6.7776792705285231</v>
      </c>
      <c r="H12" s="165" vm="741">
        <v>1336</v>
      </c>
      <c r="I12" s="168">
        <v>0.51</v>
      </c>
      <c r="J12" s="165" vm="786">
        <v>1402</v>
      </c>
      <c r="K12" s="167">
        <v>0.52</v>
      </c>
      <c r="L12" s="169">
        <v>4.9401197604790354</v>
      </c>
    </row>
    <row r="13" spans="1:17" ht="8.4499999999999993" customHeight="1" x14ac:dyDescent="0.3">
      <c r="B13" s="86"/>
      <c r="C13" s="166"/>
      <c r="D13" s="167"/>
      <c r="E13" s="166"/>
      <c r="F13" s="168"/>
      <c r="G13" s="172"/>
      <c r="H13" s="166"/>
      <c r="I13" s="168"/>
      <c r="J13" s="166"/>
      <c r="K13" s="167"/>
      <c r="L13" s="170"/>
    </row>
    <row r="14" spans="1:17" ht="27.55" customHeight="1" x14ac:dyDescent="0.3">
      <c r="B14" s="262" t="s">
        <v>46</v>
      </c>
      <c r="C14" s="263">
        <v>395742508.81</v>
      </c>
      <c r="D14" s="264">
        <v>100.00000000000001</v>
      </c>
      <c r="E14" s="263">
        <v>307252704.43000001</v>
      </c>
      <c r="F14" s="265">
        <v>100</v>
      </c>
      <c r="G14" s="266">
        <v>-22.36044963834928</v>
      </c>
      <c r="H14" s="263">
        <v>262518</v>
      </c>
      <c r="I14" s="265">
        <v>100.00000000000001</v>
      </c>
      <c r="J14" s="263">
        <v>269652</v>
      </c>
      <c r="K14" s="264">
        <v>100</v>
      </c>
      <c r="L14" s="267">
        <v>2.7175279409411957</v>
      </c>
    </row>
    <row r="15" spans="1:17" x14ac:dyDescent="0.3">
      <c r="B15" s="86"/>
      <c r="C15" s="86"/>
      <c r="D15" s="86"/>
      <c r="E15" s="86"/>
      <c r="F15" s="86"/>
      <c r="G15" s="86"/>
      <c r="H15" s="86"/>
    </row>
    <row r="16" spans="1:17" x14ac:dyDescent="0.3">
      <c r="B16" s="86"/>
      <c r="C16" s="86"/>
      <c r="D16" s="86"/>
      <c r="E16" s="86"/>
      <c r="F16" s="86"/>
      <c r="G16" s="86"/>
      <c r="H16" s="86"/>
    </row>
    <row r="17" spans="2:8" x14ac:dyDescent="0.3">
      <c r="B17" s="86"/>
      <c r="C17" s="86"/>
      <c r="D17" s="86"/>
      <c r="E17" s="86"/>
      <c r="F17" s="86"/>
      <c r="G17" s="86"/>
      <c r="H17" s="86"/>
    </row>
    <row r="18" spans="2:8" x14ac:dyDescent="0.3">
      <c r="B18" s="86"/>
      <c r="C18" s="86"/>
      <c r="D18" s="86"/>
      <c r="E18" s="86"/>
      <c r="F18" s="86"/>
      <c r="G18" s="86"/>
      <c r="H18" s="86"/>
    </row>
    <row r="19" spans="2:8" x14ac:dyDescent="0.3">
      <c r="B19" s="86"/>
      <c r="C19" s="86"/>
      <c r="D19" s="86"/>
      <c r="E19" s="340"/>
      <c r="F19" s="86"/>
      <c r="G19" s="86"/>
      <c r="H19" s="86"/>
    </row>
    <row r="20" spans="2:8" x14ac:dyDescent="0.3">
      <c r="B20" s="86"/>
      <c r="C20" s="86"/>
      <c r="D20" s="86"/>
      <c r="E20" s="86"/>
      <c r="F20" s="86"/>
      <c r="G20" s="86"/>
      <c r="H20" s="86"/>
    </row>
    <row r="21" spans="2:8" x14ac:dyDescent="0.3">
      <c r="B21" s="86"/>
      <c r="C21" s="86"/>
      <c r="D21" s="86"/>
      <c r="E21" s="86"/>
      <c r="F21" s="86"/>
      <c r="G21" s="86"/>
      <c r="H21" s="86"/>
    </row>
    <row r="22" spans="2:8" x14ac:dyDescent="0.3">
      <c r="B22" s="86"/>
      <c r="C22" s="86"/>
      <c r="D22" s="86"/>
      <c r="E22" s="86"/>
      <c r="F22" s="86"/>
      <c r="G22" s="86"/>
      <c r="H22" s="86"/>
    </row>
    <row r="23" spans="2:8" x14ac:dyDescent="0.3">
      <c r="B23" s="86"/>
      <c r="C23" s="86"/>
      <c r="D23" s="86"/>
      <c r="E23" s="86"/>
      <c r="F23" s="86"/>
      <c r="G23" s="86"/>
      <c r="H23" s="86"/>
    </row>
    <row r="24" spans="2:8" x14ac:dyDescent="0.3">
      <c r="B24" s="86"/>
      <c r="C24" s="86"/>
      <c r="D24" s="86"/>
      <c r="E24" s="86"/>
      <c r="F24" s="86"/>
      <c r="G24" s="86"/>
      <c r="H24" s="86"/>
    </row>
  </sheetData>
  <mergeCells count="4">
    <mergeCell ref="B1:L1"/>
    <mergeCell ref="H6:L6"/>
    <mergeCell ref="B6:B7"/>
    <mergeCell ref="C6:G6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4" orientation="landscape" r:id="rId1"/>
  <customProperties>
    <customPr name="Version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6" tint="0.39997558519241921"/>
    <pageSetUpPr fitToPage="1"/>
  </sheetPr>
  <dimension ref="A1:Q24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57.296875" style="8" customWidth="1"/>
    <col min="3" max="4" width="19.296875" style="8" customWidth="1"/>
    <col min="5" max="5" width="15.69921875" style="61" bestFit="1" customWidth="1"/>
    <col min="6" max="7" width="15.296875" style="8" customWidth="1"/>
    <col min="8" max="8" width="15.69921875" style="8" customWidth="1"/>
    <col min="9" max="16384" width="9.296875" style="8"/>
  </cols>
  <sheetData>
    <row r="1" spans="1:17" s="18" customFormat="1" ht="58.85" customHeight="1" x14ac:dyDescent="0.3">
      <c r="A1" s="18" t="s">
        <v>141</v>
      </c>
      <c r="B1" s="371" t="s">
        <v>292</v>
      </c>
      <c r="C1" s="371"/>
      <c r="D1" s="371"/>
      <c r="E1" s="371"/>
      <c r="F1" s="371"/>
      <c r="G1" s="371"/>
      <c r="H1" s="371"/>
    </row>
    <row r="2" spans="1:17" s="18" customFormat="1" ht="13.3" x14ac:dyDescent="0.3">
      <c r="A2" s="112"/>
      <c r="B2" s="87"/>
      <c r="C2" s="87"/>
      <c r="D2" s="87"/>
      <c r="E2" s="87"/>
      <c r="F2" s="87"/>
      <c r="G2" s="87"/>
      <c r="H2" s="87"/>
    </row>
    <row r="3" spans="1:17" ht="36" customHeight="1" x14ac:dyDescent="0.3"/>
    <row r="5" spans="1:17" ht="7.5" customHeight="1" thickBot="1" x14ac:dyDescent="0.4"/>
    <row r="6" spans="1:17" s="53" customFormat="1" ht="14.95" customHeight="1" x14ac:dyDescent="0.3">
      <c r="B6" s="369" t="s">
        <v>44</v>
      </c>
      <c r="C6" s="367" t="s">
        <v>43</v>
      </c>
      <c r="D6" s="367"/>
      <c r="E6" s="367"/>
      <c r="F6" s="367" t="s">
        <v>42</v>
      </c>
      <c r="G6" s="367"/>
      <c r="H6" s="368"/>
    </row>
    <row r="7" spans="1:17" s="54" customFormat="1" ht="14.95" thickBot="1" x14ac:dyDescent="0.35">
      <c r="B7" s="370"/>
      <c r="C7" s="6" t="s">
        <v>143</v>
      </c>
      <c r="D7" s="6" t="s">
        <v>144</v>
      </c>
      <c r="E7" s="6" t="s">
        <v>142</v>
      </c>
      <c r="F7" s="6" t="s">
        <v>143</v>
      </c>
      <c r="G7" s="6" t="s">
        <v>144</v>
      </c>
      <c r="H7" s="7" t="s">
        <v>142</v>
      </c>
    </row>
    <row r="8" spans="1:17" s="55" customFormat="1" ht="8.4499999999999993" customHeight="1" x14ac:dyDescent="0.3">
      <c r="C8" s="54"/>
      <c r="D8" s="54"/>
      <c r="E8" s="56"/>
      <c r="F8" s="178"/>
      <c r="G8" s="54"/>
      <c r="H8" s="54"/>
      <c r="I8" s="54"/>
      <c r="J8" s="54"/>
      <c r="K8" s="68"/>
      <c r="L8" s="54"/>
      <c r="M8" s="54"/>
    </row>
    <row r="9" spans="1:17" s="18" customFormat="1" ht="37.549999999999997" customHeight="1" x14ac:dyDescent="0.3">
      <c r="B9" s="14" t="s" vm="159">
        <v>218</v>
      </c>
      <c r="C9" s="173" vm="1004">
        <v>159208814.88</v>
      </c>
      <c r="D9" s="173" vm="959">
        <v>152415153.18000001</v>
      </c>
      <c r="E9" s="176">
        <v>-4.2671391688459863</v>
      </c>
      <c r="F9" s="173" vm="1032">
        <v>12308</v>
      </c>
      <c r="G9" s="173" vm="966">
        <v>11892</v>
      </c>
      <c r="H9" s="179">
        <v>-3.3799155021124534</v>
      </c>
    </row>
    <row r="10" spans="1:17" s="18" customFormat="1" ht="37.549999999999997" customHeight="1" x14ac:dyDescent="0.3">
      <c r="B10" s="14" t="s" vm="99">
        <v>282</v>
      </c>
      <c r="C10" s="173" vm="889">
        <v>35732.11</v>
      </c>
      <c r="D10" s="173" vm="944">
        <v>24588.14</v>
      </c>
      <c r="E10" s="176">
        <v>-31.187550917088302</v>
      </c>
      <c r="F10" s="173" vm="1271">
        <v>8</v>
      </c>
      <c r="G10" s="173" vm="1684">
        <v>4</v>
      </c>
      <c r="H10" s="179">
        <v>-50</v>
      </c>
    </row>
    <row r="11" spans="1:17" s="18" customFormat="1" ht="37.549999999999997" customHeight="1" x14ac:dyDescent="0.3">
      <c r="B11" s="14" t="s" vm="137">
        <v>223</v>
      </c>
      <c r="C11" s="173" vm="776">
        <v>0</v>
      </c>
      <c r="D11" s="173" vm="1335">
        <v>0</v>
      </c>
      <c r="E11" s="175" t="s">
        <v>145</v>
      </c>
      <c r="F11" s="173" vm="1697">
        <v>0</v>
      </c>
      <c r="G11" s="173" vm="780">
        <v>0</v>
      </c>
      <c r="H11" s="179" t="s">
        <v>145</v>
      </c>
    </row>
    <row r="12" spans="1:17" s="18" customFormat="1" ht="37.549999999999997" customHeight="1" x14ac:dyDescent="0.3">
      <c r="B12" s="14" t="s" vm="111">
        <v>228</v>
      </c>
      <c r="C12" s="173" vm="1458">
        <v>19950</v>
      </c>
      <c r="D12" s="173" vm="1057">
        <v>28419.79</v>
      </c>
      <c r="E12" s="176">
        <v>42.455087719298234</v>
      </c>
      <c r="F12" s="173" vm="1017">
        <v>1</v>
      </c>
      <c r="G12" s="173" vm="1236">
        <v>2</v>
      </c>
      <c r="H12" s="179">
        <v>100</v>
      </c>
    </row>
    <row r="13" spans="1:17" s="55" customFormat="1" ht="3.05" customHeight="1" thickBot="1" x14ac:dyDescent="0.35">
      <c r="B13" s="69"/>
      <c r="C13" s="174"/>
      <c r="D13" s="174"/>
      <c r="E13" s="177" t="s">
        <v>145</v>
      </c>
      <c r="F13" s="174"/>
      <c r="G13" s="174"/>
      <c r="H13" s="180"/>
      <c r="I13" s="70"/>
      <c r="J13" s="70"/>
      <c r="K13" s="70"/>
      <c r="L13" s="70"/>
      <c r="M13" s="54"/>
      <c r="N13" s="54"/>
      <c r="O13" s="54"/>
      <c r="P13" s="54"/>
      <c r="Q13" s="54"/>
    </row>
    <row r="14" spans="1:17" ht="37.700000000000003" customHeight="1" thickBot="1" x14ac:dyDescent="0.35">
      <c r="B14" s="268" t="s">
        <v>46</v>
      </c>
      <c r="C14" s="269">
        <v>159264496.99000001</v>
      </c>
      <c r="D14" s="269">
        <v>152468161.10999998</v>
      </c>
      <c r="E14" s="270">
        <v>-4.2673263711916576</v>
      </c>
      <c r="F14" s="269">
        <v>12317</v>
      </c>
      <c r="G14" s="269">
        <v>11898</v>
      </c>
      <c r="H14" s="271">
        <v>-3.4018023869448797</v>
      </c>
    </row>
    <row r="15" spans="1:17" x14ac:dyDescent="0.3">
      <c r="B15" s="86"/>
      <c r="C15" s="86"/>
      <c r="D15" s="86"/>
      <c r="E15" s="71"/>
      <c r="F15" s="86"/>
    </row>
    <row r="16" spans="1:17" x14ac:dyDescent="0.3">
      <c r="B16" s="86"/>
      <c r="C16" s="86"/>
      <c r="D16" s="86"/>
      <c r="E16" s="71"/>
      <c r="F16" s="86"/>
    </row>
    <row r="17" spans="2:6" x14ac:dyDescent="0.3">
      <c r="B17" s="86"/>
      <c r="C17" s="86"/>
      <c r="D17" s="86"/>
      <c r="E17" s="71"/>
      <c r="F17" s="86"/>
    </row>
    <row r="18" spans="2:6" x14ac:dyDescent="0.3">
      <c r="B18" s="86"/>
      <c r="C18" s="86"/>
      <c r="D18" s="86"/>
      <c r="E18" s="71"/>
      <c r="F18" s="86"/>
    </row>
    <row r="19" spans="2:6" x14ac:dyDescent="0.3">
      <c r="B19" s="86"/>
      <c r="C19" s="86"/>
      <c r="D19" s="86"/>
      <c r="E19" s="71"/>
      <c r="F19" s="86"/>
    </row>
    <row r="20" spans="2:6" x14ac:dyDescent="0.3">
      <c r="B20" s="86"/>
      <c r="C20" s="86"/>
      <c r="D20" s="86"/>
      <c r="E20" s="71"/>
      <c r="F20" s="86"/>
    </row>
    <row r="21" spans="2:6" x14ac:dyDescent="0.3">
      <c r="B21" s="86"/>
      <c r="C21" s="86"/>
      <c r="D21" s="86"/>
      <c r="E21" s="71"/>
      <c r="F21" s="86"/>
    </row>
    <row r="22" spans="2:6" x14ac:dyDescent="0.3">
      <c r="B22" s="86"/>
      <c r="C22" s="86"/>
      <c r="D22" s="86"/>
      <c r="E22" s="71"/>
      <c r="F22" s="86"/>
    </row>
    <row r="23" spans="2:6" x14ac:dyDescent="0.3">
      <c r="B23" s="86"/>
      <c r="C23" s="86"/>
      <c r="D23" s="86"/>
      <c r="E23" s="71"/>
      <c r="F23" s="86"/>
    </row>
    <row r="24" spans="2:6" x14ac:dyDescent="0.3">
      <c r="B24" s="86"/>
      <c r="C24" s="86"/>
      <c r="D24" s="86"/>
      <c r="E24" s="71"/>
      <c r="F24" s="86"/>
    </row>
  </sheetData>
  <mergeCells count="4">
    <mergeCell ref="B6:B7"/>
    <mergeCell ref="C6:E6"/>
    <mergeCell ref="F6:H6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4" orientation="landscape" r:id="rId1"/>
  <customProperties>
    <customPr name="Version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6" tint="0.39997558519241921"/>
    <pageSetUpPr fitToPage="1"/>
  </sheetPr>
  <dimension ref="A1:Q37"/>
  <sheetViews>
    <sheetView showGridLines="0" topLeftCell="A1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8.296875" style="8" customWidth="1"/>
    <col min="3" max="3" width="19.296875" style="8" customWidth="1"/>
    <col min="4" max="4" width="11.59765625" style="67" customWidth="1"/>
    <col min="5" max="5" width="19.296875" style="8" customWidth="1"/>
    <col min="6" max="6" width="10.69921875" style="72" bestFit="1" customWidth="1"/>
    <col min="7" max="7" width="15.69921875" style="8" bestFit="1" customWidth="1"/>
    <col min="8" max="8" width="15.296875" style="8" customWidth="1"/>
    <col min="9" max="9" width="9.69921875" style="67" bestFit="1" customWidth="1"/>
    <col min="10" max="10" width="15.296875" style="8" customWidth="1"/>
    <col min="11" max="11" width="11.296875" style="67" bestFit="1" customWidth="1"/>
    <col min="12" max="12" width="15.69921875" style="8" bestFit="1" customWidth="1"/>
    <col min="13" max="16384" width="9.296875" style="8"/>
  </cols>
  <sheetData>
    <row r="1" spans="1:17" s="18" customFormat="1" ht="58.85" customHeight="1" x14ac:dyDescent="0.3">
      <c r="A1" s="18" t="s">
        <v>141</v>
      </c>
      <c r="B1" s="372" t="s">
        <v>291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113"/>
    </row>
    <row r="2" spans="1:17" s="18" customFormat="1" ht="13.3" x14ac:dyDescent="0.3">
      <c r="A2" s="11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7" ht="17.45" customHeight="1" x14ac:dyDescent="0.3"/>
    <row r="4" spans="1:17" ht="7.5" customHeight="1" thickBot="1" x14ac:dyDescent="0.4"/>
    <row r="5" spans="1:17" s="53" customFormat="1" ht="14.95" customHeight="1" x14ac:dyDescent="0.3">
      <c r="B5" s="369" t="s">
        <v>44</v>
      </c>
      <c r="C5" s="367" t="s">
        <v>37</v>
      </c>
      <c r="D5" s="367"/>
      <c r="E5" s="367"/>
      <c r="F5" s="367"/>
      <c r="G5" s="367"/>
      <c r="H5" s="367" t="s">
        <v>41</v>
      </c>
      <c r="I5" s="367"/>
      <c r="J5" s="367"/>
      <c r="K5" s="367"/>
      <c r="L5" s="368"/>
    </row>
    <row r="6" spans="1:17" s="54" customFormat="1" ht="14.95" thickBot="1" x14ac:dyDescent="0.35">
      <c r="B6" s="370"/>
      <c r="C6" s="6" t="s">
        <v>143</v>
      </c>
      <c r="D6" s="41" t="s">
        <v>45</v>
      </c>
      <c r="E6" s="6" t="s">
        <v>144</v>
      </c>
      <c r="F6" s="44" t="s">
        <v>45</v>
      </c>
      <c r="G6" s="6" t="s">
        <v>142</v>
      </c>
      <c r="H6" s="6" t="s">
        <v>143</v>
      </c>
      <c r="I6" s="41" t="s">
        <v>45</v>
      </c>
      <c r="J6" s="6" t="s">
        <v>144</v>
      </c>
      <c r="K6" s="41" t="s">
        <v>45</v>
      </c>
      <c r="L6" s="7" t="s">
        <v>142</v>
      </c>
    </row>
    <row r="7" spans="1:17" s="55" customFormat="1" ht="3.05" customHeight="1" x14ac:dyDescent="0.3">
      <c r="C7" s="54"/>
      <c r="D7" s="57"/>
      <c r="E7" s="54"/>
      <c r="F7" s="58"/>
      <c r="G7" s="54"/>
      <c r="H7" s="54"/>
      <c r="I7" s="57"/>
      <c r="J7" s="54"/>
      <c r="K7" s="57"/>
      <c r="L7" s="54"/>
      <c r="M7" s="54"/>
      <c r="N7" s="54"/>
      <c r="O7" s="54"/>
      <c r="P7" s="54"/>
      <c r="Q7" s="54"/>
    </row>
    <row r="8" spans="1:17" ht="37.549999999999997" customHeight="1" x14ac:dyDescent="0.3">
      <c r="B8" s="14" t="s" vm="148">
        <v>276</v>
      </c>
      <c r="C8" s="173" vm="1128">
        <v>56576260.940000005</v>
      </c>
      <c r="D8" s="181">
        <v>63.9</v>
      </c>
      <c r="E8" s="185" vm="1859">
        <v>61448927.520000003</v>
      </c>
      <c r="F8" s="181">
        <v>57.89</v>
      </c>
      <c r="G8" s="283">
        <v>8.6125638192448406</v>
      </c>
      <c r="H8" s="173" vm="1903">
        <v>33441</v>
      </c>
      <c r="I8" s="181">
        <v>10.08</v>
      </c>
      <c r="J8" s="173" vm="1366">
        <v>27971</v>
      </c>
      <c r="K8" s="181">
        <v>8.3000000000000007</v>
      </c>
      <c r="L8" s="278">
        <v>-16.357166352680835</v>
      </c>
    </row>
    <row r="9" spans="1:17" ht="37.549999999999997" customHeight="1" x14ac:dyDescent="0.3">
      <c r="B9" s="14" t="s" vm="127">
        <v>277</v>
      </c>
      <c r="C9" s="173" vm="767">
        <v>21370248.239999998</v>
      </c>
      <c r="D9" s="181">
        <v>24.14</v>
      </c>
      <c r="E9" s="185" vm="1079">
        <v>24054616.48</v>
      </c>
      <c r="F9" s="181">
        <v>22.66</v>
      </c>
      <c r="G9" s="283">
        <v>12.561240327454442</v>
      </c>
      <c r="H9" s="173" vm="1359">
        <v>277166</v>
      </c>
      <c r="I9" s="181">
        <v>83.53</v>
      </c>
      <c r="J9" s="173" vm="686">
        <v>288102</v>
      </c>
      <c r="K9" s="181">
        <v>85.45</v>
      </c>
      <c r="L9" s="278">
        <v>3.9456498993382922</v>
      </c>
    </row>
    <row r="10" spans="1:17" ht="37.549999999999997" customHeight="1" x14ac:dyDescent="0.3">
      <c r="B10" s="14" t="s" vm="100">
        <v>278</v>
      </c>
      <c r="C10" s="173" vm="1266">
        <v>423077.84</v>
      </c>
      <c r="D10" s="181">
        <v>0.48</v>
      </c>
      <c r="E10" s="185" vm="942">
        <v>306843.89</v>
      </c>
      <c r="F10" s="181">
        <v>0.28000000000000003</v>
      </c>
      <c r="G10" s="283">
        <v>-27.473419548516176</v>
      </c>
      <c r="H10" s="173" vm="1679">
        <v>379</v>
      </c>
      <c r="I10" s="181">
        <v>0.12</v>
      </c>
      <c r="J10" s="173" vm="1536">
        <v>357</v>
      </c>
      <c r="K10" s="181">
        <v>0.11</v>
      </c>
      <c r="L10" s="278">
        <v>-5.8047493403693977</v>
      </c>
    </row>
    <row r="11" spans="1:17" ht="37.549999999999997" customHeight="1" x14ac:dyDescent="0.3">
      <c r="B11" s="14" t="s" vm="171">
        <v>279</v>
      </c>
      <c r="C11" s="173" vm="1415">
        <v>1081938.0900000001</v>
      </c>
      <c r="D11" s="181">
        <v>1.22</v>
      </c>
      <c r="E11" s="185" vm="1802">
        <v>1236848.0399999996</v>
      </c>
      <c r="F11" s="181">
        <v>1.17</v>
      </c>
      <c r="G11" s="283">
        <v>14.317820162889319</v>
      </c>
      <c r="H11" s="173" vm="1710">
        <v>3893</v>
      </c>
      <c r="I11" s="181">
        <v>1.17</v>
      </c>
      <c r="J11" s="173" vm="1358">
        <v>4704</v>
      </c>
      <c r="K11" s="181">
        <v>1.4</v>
      </c>
      <c r="L11" s="278">
        <v>20.832263036218862</v>
      </c>
    </row>
    <row r="12" spans="1:17" ht="37.549999999999997" customHeight="1" x14ac:dyDescent="0.3">
      <c r="B12" s="14" t="s" vm="147">
        <v>280</v>
      </c>
      <c r="C12" s="173" vm="1283">
        <v>3152128.4400000004</v>
      </c>
      <c r="D12" s="181">
        <v>3.56</v>
      </c>
      <c r="E12" s="185" vm="1014">
        <v>4000308.4299999997</v>
      </c>
      <c r="F12" s="181">
        <v>3.77</v>
      </c>
      <c r="G12" s="283">
        <v>26.908167168467273</v>
      </c>
      <c r="H12" s="173" vm="1009">
        <v>5076</v>
      </c>
      <c r="I12" s="181">
        <v>1.53</v>
      </c>
      <c r="J12" s="173" vm="1267">
        <v>4101</v>
      </c>
      <c r="K12" s="181">
        <v>1.22</v>
      </c>
      <c r="L12" s="278">
        <v>-19.208037825059094</v>
      </c>
    </row>
    <row r="13" spans="1:17" ht="37.549999999999997" customHeight="1" x14ac:dyDescent="0.3">
      <c r="B13" s="14" t="s" vm="126">
        <v>281</v>
      </c>
      <c r="C13" s="173" vm="1478">
        <v>1675871.1099999999</v>
      </c>
      <c r="D13" s="181">
        <v>1.89</v>
      </c>
      <c r="E13" s="185" vm="1495">
        <v>1735570.7899999998</v>
      </c>
      <c r="F13" s="181">
        <v>1.64</v>
      </c>
      <c r="G13" s="283">
        <v>3.5623073662269746</v>
      </c>
      <c r="H13" s="173" vm="1916">
        <v>49</v>
      </c>
      <c r="I13" s="181">
        <v>0.01</v>
      </c>
      <c r="J13" s="173" vm="1443">
        <v>50</v>
      </c>
      <c r="K13" s="181">
        <v>0.01</v>
      </c>
      <c r="L13" s="278">
        <v>2.0408163265306172</v>
      </c>
    </row>
    <row r="14" spans="1:17" ht="37.549999999999997" customHeight="1" x14ac:dyDescent="0.3">
      <c r="B14" s="14" t="s" vm="99">
        <v>282</v>
      </c>
      <c r="C14" s="173" vm="1154">
        <v>1232132.93</v>
      </c>
      <c r="D14" s="181">
        <v>1.39</v>
      </c>
      <c r="E14" s="185" vm="848">
        <v>1072006.6000000001</v>
      </c>
      <c r="F14" s="181">
        <v>1.01</v>
      </c>
      <c r="G14" s="283">
        <v>-12.995864821176383</v>
      </c>
      <c r="H14" s="173" vm="1265">
        <v>477</v>
      </c>
      <c r="I14" s="181">
        <v>0.14000000000000001</v>
      </c>
      <c r="J14" s="173" vm="965">
        <v>506</v>
      </c>
      <c r="K14" s="181">
        <v>0.15</v>
      </c>
      <c r="L14" s="278">
        <v>6.0796645702306193</v>
      </c>
    </row>
    <row r="15" spans="1:17" ht="37.549999999999997" customHeight="1" x14ac:dyDescent="0.3">
      <c r="B15" s="14" t="s" vm="170">
        <v>283</v>
      </c>
      <c r="C15" s="173" vm="1759">
        <v>3024548.49</v>
      </c>
      <c r="D15" s="181">
        <v>3.42</v>
      </c>
      <c r="E15" s="185" vm="1418">
        <v>12292206.58</v>
      </c>
      <c r="F15" s="181">
        <v>11.58</v>
      </c>
      <c r="G15" s="283">
        <v>306.41459777026085</v>
      </c>
      <c r="H15" s="173" vm="1933">
        <v>11364</v>
      </c>
      <c r="I15" s="181">
        <v>3.42</v>
      </c>
      <c r="J15" s="173" vm="1182">
        <v>11330</v>
      </c>
      <c r="K15" s="181">
        <v>3.36</v>
      </c>
      <c r="L15" s="278">
        <v>-0.29919042590637446</v>
      </c>
    </row>
    <row r="16" spans="1:17" s="55" customFormat="1" ht="3.05" customHeight="1" thickBot="1" x14ac:dyDescent="0.35">
      <c r="B16" s="69"/>
      <c r="C16" s="174"/>
      <c r="D16" s="43">
        <v>0</v>
      </c>
      <c r="E16" s="184"/>
      <c r="F16" s="45"/>
      <c r="G16" s="188" t="s">
        <v>145</v>
      </c>
      <c r="H16" s="174"/>
      <c r="I16" s="42"/>
      <c r="J16" s="184"/>
      <c r="K16" s="42"/>
      <c r="L16" s="279" t="s">
        <v>145</v>
      </c>
      <c r="M16" s="54"/>
      <c r="N16" s="54"/>
      <c r="O16" s="54"/>
      <c r="P16" s="54"/>
      <c r="Q16" s="54"/>
    </row>
    <row r="17" spans="2:17" ht="37.549999999999997" customHeight="1" thickBot="1" x14ac:dyDescent="0.35">
      <c r="B17" s="21" t="s" vm="48">
        <v>284</v>
      </c>
      <c r="C17" s="183">
        <v>88536206.080000013</v>
      </c>
      <c r="D17" s="186">
        <v>100</v>
      </c>
      <c r="E17" s="183">
        <v>106147328.33000001</v>
      </c>
      <c r="F17" s="186">
        <v>100</v>
      </c>
      <c r="G17" s="284">
        <v>19.891435413537877</v>
      </c>
      <c r="H17" s="183">
        <v>331845</v>
      </c>
      <c r="I17" s="187">
        <v>100.00000000000001</v>
      </c>
      <c r="J17" s="183">
        <v>337121</v>
      </c>
      <c r="K17" s="187">
        <v>100.00000000000001</v>
      </c>
      <c r="L17" s="280">
        <v>1.5898988985821632</v>
      </c>
    </row>
    <row r="18" spans="2:17" s="55" customFormat="1" ht="3.05" customHeight="1" x14ac:dyDescent="0.3">
      <c r="B18" s="69"/>
      <c r="C18" s="174"/>
      <c r="D18" s="73"/>
      <c r="E18" s="174"/>
      <c r="F18" s="45"/>
      <c r="G18" s="188"/>
      <c r="H18" s="174"/>
      <c r="I18" s="42"/>
      <c r="J18" s="184"/>
      <c r="K18" s="42"/>
      <c r="L18" s="279"/>
      <c r="M18" s="54"/>
      <c r="N18" s="54"/>
      <c r="O18" s="54"/>
      <c r="P18" s="54"/>
      <c r="Q18" s="54"/>
    </row>
    <row r="19" spans="2:17" ht="37.549999999999997" customHeight="1" x14ac:dyDescent="0.3">
      <c r="B19" s="14" t="s" vm="125">
        <v>285</v>
      </c>
      <c r="C19" s="173" vm="1058">
        <v>79459.73</v>
      </c>
      <c r="D19" s="181">
        <v>0.14000000000000001</v>
      </c>
      <c r="E19" s="173" vm="915">
        <v>0</v>
      </c>
      <c r="F19" s="181">
        <v>0</v>
      </c>
      <c r="G19" s="285" t="s">
        <v>145</v>
      </c>
      <c r="H19" s="173" vm="909">
        <v>1</v>
      </c>
      <c r="I19" s="114">
        <v>0</v>
      </c>
      <c r="J19" s="173" vm="1505">
        <v>0</v>
      </c>
      <c r="K19" s="181">
        <v>0</v>
      </c>
      <c r="L19" s="278" t="s">
        <v>145</v>
      </c>
    </row>
    <row r="20" spans="2:17" ht="37.549999999999997" customHeight="1" x14ac:dyDescent="0.3">
      <c r="B20" s="14" t="s" vm="98">
        <v>286</v>
      </c>
      <c r="C20" s="173" vm="1839">
        <v>12324238.800000001</v>
      </c>
      <c r="D20" s="181">
        <v>22.56</v>
      </c>
      <c r="E20" s="173" vm="1696">
        <v>23675127.239999998</v>
      </c>
      <c r="F20" s="181">
        <v>35.020000000000003</v>
      </c>
      <c r="G20" s="285">
        <v>92.102146219367285</v>
      </c>
      <c r="H20" s="173" vm="1401">
        <v>8941</v>
      </c>
      <c r="I20" s="114">
        <v>24.27</v>
      </c>
      <c r="J20" s="173" vm="1570">
        <v>15673</v>
      </c>
      <c r="K20" s="181">
        <v>33.090000000000003</v>
      </c>
      <c r="L20" s="278">
        <v>75.293591320881347</v>
      </c>
    </row>
    <row r="21" spans="2:17" ht="37.549999999999997" customHeight="1" x14ac:dyDescent="0.3">
      <c r="B21" s="14" t="s" vm="169">
        <v>287</v>
      </c>
      <c r="C21" s="173" vm="1146">
        <v>33806728.18</v>
      </c>
      <c r="D21" s="181">
        <v>61.88</v>
      </c>
      <c r="E21" s="173" vm="813">
        <v>37639551.079999998</v>
      </c>
      <c r="F21" s="181">
        <v>55.68</v>
      </c>
      <c r="G21" s="285">
        <v>11.337455904021752</v>
      </c>
      <c r="H21" s="173" vm="1307">
        <v>27229</v>
      </c>
      <c r="I21" s="114">
        <v>73.900000000000006</v>
      </c>
      <c r="J21" s="173" vm="1529">
        <v>30880</v>
      </c>
      <c r="K21" s="181">
        <v>65.19</v>
      </c>
      <c r="L21" s="278">
        <v>13.40849829226191</v>
      </c>
    </row>
    <row r="22" spans="2:17" ht="37.549999999999997" customHeight="1" x14ac:dyDescent="0.3">
      <c r="B22" s="14" t="s" vm="146">
        <v>288</v>
      </c>
      <c r="C22" s="173" vm="872">
        <v>0</v>
      </c>
      <c r="D22" s="181">
        <v>0</v>
      </c>
      <c r="E22" s="173" vm="1647">
        <v>0</v>
      </c>
      <c r="F22" s="181">
        <v>0</v>
      </c>
      <c r="G22" s="285" t="s">
        <v>145</v>
      </c>
      <c r="H22" s="173" vm="1258">
        <v>0</v>
      </c>
      <c r="I22" s="114">
        <v>0</v>
      </c>
      <c r="J22" s="173" vm="1048">
        <v>0</v>
      </c>
      <c r="K22" s="181">
        <v>0</v>
      </c>
      <c r="L22" s="278" t="s">
        <v>145</v>
      </c>
    </row>
    <row r="23" spans="2:17" ht="37.549999999999997" customHeight="1" x14ac:dyDescent="0.3">
      <c r="B23" s="14" t="s" vm="124">
        <v>289</v>
      </c>
      <c r="C23" s="173" vm="1230">
        <v>8423375.3100000005</v>
      </c>
      <c r="D23" s="181">
        <v>15.42</v>
      </c>
      <c r="E23" s="173" vm="783">
        <v>6284513.4199999999</v>
      </c>
      <c r="F23" s="181">
        <v>9.3000000000000007</v>
      </c>
      <c r="G23" s="285">
        <v>-25.39198137664367</v>
      </c>
      <c r="H23" s="173" vm="838">
        <v>675</v>
      </c>
      <c r="I23" s="114">
        <v>1.83</v>
      </c>
      <c r="J23" s="173" vm="1293">
        <v>816</v>
      </c>
      <c r="K23" s="181">
        <v>1.72</v>
      </c>
      <c r="L23" s="278">
        <v>20.888888888888886</v>
      </c>
    </row>
    <row r="24" spans="2:17" s="55" customFormat="1" ht="3.05" customHeight="1" thickBot="1" x14ac:dyDescent="0.35">
      <c r="B24" s="69"/>
      <c r="C24" s="174"/>
      <c r="D24" s="181"/>
      <c r="E24" s="174"/>
      <c r="F24" s="45"/>
      <c r="G24" s="222" t="s">
        <v>145</v>
      </c>
      <c r="H24" s="174"/>
      <c r="I24" s="42"/>
      <c r="J24" s="184"/>
      <c r="K24" s="42"/>
      <c r="L24" s="281" t="s">
        <v>145</v>
      </c>
      <c r="M24" s="54"/>
      <c r="N24" s="54"/>
      <c r="O24" s="54"/>
      <c r="P24" s="54"/>
      <c r="Q24" s="54"/>
    </row>
    <row r="25" spans="2:17" ht="37.549999999999997" customHeight="1" thickBot="1" x14ac:dyDescent="0.35">
      <c r="B25" s="21" t="s" vm="45">
        <v>290</v>
      </c>
      <c r="C25" s="183">
        <v>54633802.020000003</v>
      </c>
      <c r="D25" s="187">
        <v>100</v>
      </c>
      <c r="E25" s="183">
        <v>67599191.739999995</v>
      </c>
      <c r="F25" s="187">
        <v>100</v>
      </c>
      <c r="G25" s="284">
        <v>23.731443246899971</v>
      </c>
      <c r="H25" s="183">
        <v>36846</v>
      </c>
      <c r="I25" s="187">
        <v>100</v>
      </c>
      <c r="J25" s="183">
        <v>47369</v>
      </c>
      <c r="K25" s="186">
        <v>100</v>
      </c>
      <c r="L25" s="280">
        <v>28.559409433859827</v>
      </c>
    </row>
    <row r="26" spans="2:17" s="55" customFormat="1" ht="3.05" customHeight="1" x14ac:dyDescent="0.3">
      <c r="B26" s="69"/>
      <c r="C26" s="174"/>
      <c r="D26" s="73"/>
      <c r="E26" s="70"/>
      <c r="F26" s="74"/>
      <c r="G26" s="222"/>
      <c r="H26" s="70"/>
      <c r="I26" s="73"/>
      <c r="J26" s="70"/>
      <c r="K26" s="73"/>
      <c r="L26" s="281"/>
      <c r="M26" s="54"/>
      <c r="N26" s="54"/>
      <c r="O26" s="54"/>
      <c r="P26" s="54"/>
      <c r="Q26" s="54"/>
    </row>
    <row r="27" spans="2:17" ht="23.3" customHeight="1" x14ac:dyDescent="0.3">
      <c r="B27" s="272" t="s">
        <v>61</v>
      </c>
      <c r="C27" s="273">
        <v>143170008.10000002</v>
      </c>
      <c r="D27" s="274"/>
      <c r="E27" s="275">
        <v>173746520.06999999</v>
      </c>
      <c r="F27" s="276"/>
      <c r="G27" s="286">
        <v>21.356785807152548</v>
      </c>
      <c r="H27" s="275">
        <v>368691</v>
      </c>
      <c r="I27" s="274"/>
      <c r="J27" s="277">
        <v>384490</v>
      </c>
      <c r="K27" s="274"/>
      <c r="L27" s="282">
        <v>4.28516020190348</v>
      </c>
    </row>
    <row r="28" spans="2:17" x14ac:dyDescent="0.3">
      <c r="B28" s="75"/>
      <c r="C28" s="75"/>
      <c r="D28" s="76"/>
      <c r="E28" s="75"/>
      <c r="F28" s="77"/>
      <c r="G28" s="75"/>
      <c r="H28" s="75"/>
      <c r="I28" s="78"/>
      <c r="J28" s="18"/>
      <c r="K28" s="78"/>
      <c r="L28" s="18"/>
    </row>
    <row r="29" spans="2:17" x14ac:dyDescent="0.3">
      <c r="B29" s="75"/>
      <c r="C29" s="75"/>
      <c r="D29" s="76"/>
      <c r="E29" s="75"/>
      <c r="F29" s="77"/>
      <c r="G29" s="75"/>
      <c r="H29" s="75"/>
      <c r="I29" s="78"/>
      <c r="J29" s="18"/>
      <c r="K29" s="78"/>
      <c r="L29" s="18"/>
    </row>
    <row r="30" spans="2:17" x14ac:dyDescent="0.3">
      <c r="B30" s="75"/>
      <c r="C30" s="75"/>
      <c r="D30" s="76"/>
      <c r="E30" s="75"/>
      <c r="F30" s="77"/>
      <c r="G30" s="75"/>
      <c r="H30" s="75"/>
      <c r="I30" s="78"/>
      <c r="J30" s="18"/>
      <c r="K30" s="78"/>
      <c r="L30" s="18"/>
    </row>
    <row r="31" spans="2:17" x14ac:dyDescent="0.3">
      <c r="B31" s="75"/>
      <c r="C31" s="75"/>
      <c r="D31" s="76"/>
      <c r="E31" s="75"/>
      <c r="F31" s="77"/>
      <c r="G31" s="75"/>
      <c r="H31" s="75"/>
      <c r="I31" s="78"/>
      <c r="J31" s="18"/>
      <c r="K31" s="78"/>
      <c r="L31" s="18"/>
    </row>
    <row r="32" spans="2:17" x14ac:dyDescent="0.3">
      <c r="B32" s="75"/>
      <c r="C32" s="75"/>
      <c r="D32" s="76"/>
      <c r="E32" s="75"/>
      <c r="F32" s="77"/>
      <c r="G32" s="75"/>
      <c r="H32" s="75"/>
      <c r="I32" s="78"/>
      <c r="J32" s="18"/>
      <c r="K32" s="78"/>
      <c r="L32" s="18"/>
    </row>
    <row r="33" spans="2:12" x14ac:dyDescent="0.3">
      <c r="B33" s="75"/>
      <c r="C33" s="75"/>
      <c r="D33" s="76"/>
      <c r="E33" s="75"/>
      <c r="F33" s="77"/>
      <c r="G33" s="75"/>
      <c r="H33" s="75"/>
      <c r="I33" s="78"/>
      <c r="J33" s="18"/>
      <c r="K33" s="78"/>
      <c r="L33" s="18"/>
    </row>
    <row r="34" spans="2:12" x14ac:dyDescent="0.3">
      <c r="B34" s="75"/>
      <c r="C34" s="75"/>
      <c r="D34" s="76"/>
      <c r="E34" s="75"/>
      <c r="F34" s="77"/>
      <c r="G34" s="75"/>
      <c r="H34" s="75"/>
      <c r="I34" s="78"/>
      <c r="J34" s="18"/>
      <c r="K34" s="78"/>
      <c r="L34" s="18"/>
    </row>
    <row r="35" spans="2:12" x14ac:dyDescent="0.3">
      <c r="B35" s="75"/>
      <c r="C35" s="75"/>
      <c r="D35" s="76"/>
      <c r="E35" s="75"/>
      <c r="F35" s="77"/>
      <c r="G35" s="75"/>
      <c r="H35" s="75"/>
      <c r="I35" s="78"/>
      <c r="J35" s="18"/>
      <c r="K35" s="78"/>
      <c r="L35" s="18"/>
    </row>
    <row r="36" spans="2:12" x14ac:dyDescent="0.3">
      <c r="B36" s="86"/>
      <c r="C36" s="86"/>
      <c r="D36" s="79"/>
      <c r="E36" s="86"/>
      <c r="F36" s="80"/>
      <c r="G36" s="86"/>
      <c r="H36" s="86"/>
    </row>
    <row r="37" spans="2:12" x14ac:dyDescent="0.3">
      <c r="B37" s="86"/>
      <c r="C37" s="86"/>
      <c r="D37" s="79"/>
      <c r="E37" s="86"/>
      <c r="F37" s="80"/>
      <c r="G37" s="86"/>
      <c r="H37" s="86"/>
    </row>
  </sheetData>
  <mergeCells count="4">
    <mergeCell ref="B5:B6"/>
    <mergeCell ref="C5:G5"/>
    <mergeCell ref="H5:L5"/>
    <mergeCell ref="B1:L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  <customProperties>
    <customPr name="Version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6" tint="0.39997558519241921"/>
    <pageSetUpPr fitToPage="1"/>
  </sheetPr>
  <dimension ref="A1:Q29"/>
  <sheetViews>
    <sheetView showGridLines="0" topLeftCell="A13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8.296875" style="8" customWidth="1"/>
    <col min="3" max="4" width="19.296875" style="8" customWidth="1"/>
    <col min="5" max="5" width="15.69921875" style="61" bestFit="1" customWidth="1"/>
    <col min="6" max="7" width="15.296875" style="8" customWidth="1"/>
    <col min="8" max="8" width="15.69921875" style="61" bestFit="1" customWidth="1"/>
    <col min="9" max="16384" width="9.296875" style="8"/>
  </cols>
  <sheetData>
    <row r="1" spans="1:17" s="18" customFormat="1" ht="58.85" customHeight="1" x14ac:dyDescent="0.3">
      <c r="A1" s="18" t="s">
        <v>141</v>
      </c>
      <c r="B1" s="372" t="s">
        <v>275</v>
      </c>
      <c r="C1" s="372"/>
      <c r="D1" s="372"/>
      <c r="E1" s="372"/>
      <c r="F1" s="372"/>
      <c r="G1" s="372"/>
      <c r="H1" s="372"/>
      <c r="I1" s="113"/>
    </row>
    <row r="2" spans="1:17" s="18" customFormat="1" ht="13.3" x14ac:dyDescent="0.3">
      <c r="A2" s="112"/>
      <c r="B2" s="347"/>
      <c r="C2" s="347"/>
      <c r="D2" s="347"/>
      <c r="E2" s="347"/>
      <c r="F2" s="347"/>
      <c r="G2" s="347"/>
      <c r="H2" s="347"/>
    </row>
    <row r="3" spans="1:17" ht="21.75" customHeight="1" x14ac:dyDescent="0.3"/>
    <row r="4" spans="1:17" ht="7.5" customHeight="1" thickBot="1" x14ac:dyDescent="0.4"/>
    <row r="5" spans="1:17" s="53" customFormat="1" ht="14.95" customHeight="1" x14ac:dyDescent="0.3">
      <c r="B5" s="369" t="s">
        <v>44</v>
      </c>
      <c r="C5" s="367" t="s">
        <v>43</v>
      </c>
      <c r="D5" s="367"/>
      <c r="E5" s="367"/>
      <c r="F5" s="367" t="s">
        <v>42</v>
      </c>
      <c r="G5" s="367"/>
      <c r="H5" s="368"/>
    </row>
    <row r="6" spans="1:17" s="54" customFormat="1" ht="14.95" thickBot="1" x14ac:dyDescent="0.35">
      <c r="B6" s="370"/>
      <c r="C6" s="6" t="s">
        <v>143</v>
      </c>
      <c r="D6" s="6" t="s">
        <v>144</v>
      </c>
      <c r="E6" s="22" t="s">
        <v>142</v>
      </c>
      <c r="F6" s="6" t="s">
        <v>143</v>
      </c>
      <c r="G6" s="6" t="s">
        <v>144</v>
      </c>
      <c r="H6" s="24" t="s">
        <v>142</v>
      </c>
    </row>
    <row r="7" spans="1:17" s="55" customFormat="1" ht="8.4499999999999993" customHeight="1" x14ac:dyDescent="0.3">
      <c r="C7" s="54"/>
      <c r="D7" s="54"/>
      <c r="E7" s="56"/>
      <c r="F7" s="54"/>
      <c r="G7" s="54"/>
      <c r="H7" s="56"/>
      <c r="I7" s="54"/>
      <c r="J7" s="54"/>
      <c r="K7" s="54"/>
      <c r="L7" s="54"/>
      <c r="M7" s="54"/>
    </row>
    <row r="8" spans="1:17" s="18" customFormat="1" ht="37.549999999999997" customHeight="1" x14ac:dyDescent="0.3">
      <c r="B8" s="14" t="s" vm="148">
        <v>276</v>
      </c>
      <c r="C8" s="190" vm="1884">
        <v>15036376.719999999</v>
      </c>
      <c r="D8" s="189" vm="1874">
        <v>9807377.8399999999</v>
      </c>
      <c r="E8" s="215">
        <v>-34.775657576102546</v>
      </c>
      <c r="F8" s="190" vm="1668">
        <v>1157</v>
      </c>
      <c r="G8" s="189" vm="1130">
        <v>1012</v>
      </c>
      <c r="H8" s="215">
        <v>-12.532411408815904</v>
      </c>
    </row>
    <row r="9" spans="1:17" s="18" customFormat="1" ht="37.549999999999997" customHeight="1" x14ac:dyDescent="0.3">
      <c r="B9" s="14" t="s" vm="127">
        <v>277</v>
      </c>
      <c r="C9" s="190" vm="1229">
        <v>2315579.34</v>
      </c>
      <c r="D9" s="189" vm="1221">
        <v>1252574.6599999999</v>
      </c>
      <c r="E9" s="215">
        <v>-45.906640365861961</v>
      </c>
      <c r="F9" s="190" vm="1790">
        <v>140</v>
      </c>
      <c r="G9" s="189" vm="1038">
        <v>115</v>
      </c>
      <c r="H9" s="215">
        <v>-17.857142857142861</v>
      </c>
    </row>
    <row r="10" spans="1:17" s="18" customFormat="1" ht="37.549999999999997" customHeight="1" x14ac:dyDescent="0.3">
      <c r="B10" s="14" t="s" vm="100">
        <v>278</v>
      </c>
      <c r="C10" s="190" vm="1295">
        <v>1817296.8899999997</v>
      </c>
      <c r="D10" s="189" vm="1301">
        <v>1563843.9400000002</v>
      </c>
      <c r="E10" s="215">
        <v>-13.946700255454658</v>
      </c>
      <c r="F10" s="190" vm="916">
        <v>1221</v>
      </c>
      <c r="G10" s="189" vm="1517">
        <v>1251</v>
      </c>
      <c r="H10" s="215">
        <v>2.45700245700246</v>
      </c>
    </row>
    <row r="11" spans="1:17" s="18" customFormat="1" ht="37.549999999999997" customHeight="1" x14ac:dyDescent="0.3">
      <c r="B11" s="14" t="s" vm="171">
        <v>279</v>
      </c>
      <c r="C11" s="190" vm="1692">
        <v>15016.519999999997</v>
      </c>
      <c r="D11" s="189" vm="1397">
        <v>71534.759999999995</v>
      </c>
      <c r="E11" s="215">
        <v>376.37375370591866</v>
      </c>
      <c r="F11" s="190" vm="1838">
        <v>3</v>
      </c>
      <c r="G11" s="189" vm="1113">
        <v>11</v>
      </c>
      <c r="H11" s="215">
        <v>266.66666666666663</v>
      </c>
    </row>
    <row r="12" spans="1:17" s="18" customFormat="1" ht="37.549999999999997" customHeight="1" x14ac:dyDescent="0.3">
      <c r="B12" s="14" t="s" vm="147">
        <v>280</v>
      </c>
      <c r="C12" s="190" vm="1937">
        <v>290710.49</v>
      </c>
      <c r="D12" s="189" vm="1576">
        <v>585401.92999999993</v>
      </c>
      <c r="E12" s="215">
        <v>101.36938642977759</v>
      </c>
      <c r="F12" s="190" vm="1407">
        <v>97</v>
      </c>
      <c r="G12" s="189" vm="1178">
        <v>110</v>
      </c>
      <c r="H12" s="215">
        <v>13.402061855670098</v>
      </c>
    </row>
    <row r="13" spans="1:17" s="18" customFormat="1" ht="37.549999999999997" customHeight="1" x14ac:dyDescent="0.3">
      <c r="B13" s="14" t="s" vm="126">
        <v>281</v>
      </c>
      <c r="C13" s="190" vm="1776">
        <v>566581.44999999984</v>
      </c>
      <c r="D13" s="189" vm="1241">
        <v>81033.590000000011</v>
      </c>
      <c r="E13" s="215">
        <v>-85.697803907981807</v>
      </c>
      <c r="F13" s="190" vm="1621">
        <v>9</v>
      </c>
      <c r="G13" s="189" vm="1623">
        <v>3</v>
      </c>
      <c r="H13" s="215">
        <v>-66.666666666666671</v>
      </c>
    </row>
    <row r="14" spans="1:17" s="18" customFormat="1" ht="37.549999999999997" customHeight="1" x14ac:dyDescent="0.3">
      <c r="B14" s="14" t="s" vm="99">
        <v>282</v>
      </c>
      <c r="C14" s="190" vm="889">
        <v>35732.11</v>
      </c>
      <c r="D14" s="189" vm="944">
        <v>24588.14</v>
      </c>
      <c r="E14" s="215">
        <v>-31.187550917088302</v>
      </c>
      <c r="F14" s="190" vm="1271">
        <v>8</v>
      </c>
      <c r="G14" s="189" vm="1684">
        <v>4</v>
      </c>
      <c r="H14" s="215">
        <v>-50</v>
      </c>
    </row>
    <row r="15" spans="1:17" s="18" customFormat="1" ht="37.549999999999997" customHeight="1" x14ac:dyDescent="0.3">
      <c r="B15" s="14" t="s" vm="170">
        <v>283</v>
      </c>
      <c r="C15" s="190" vm="1444">
        <v>638428.51</v>
      </c>
      <c r="D15" s="189" vm="1939">
        <v>446130.72</v>
      </c>
      <c r="E15" s="215">
        <v>-30.120489136677193</v>
      </c>
      <c r="F15" s="190" vm="1866">
        <v>37</v>
      </c>
      <c r="G15" s="189" vm="1218">
        <v>28</v>
      </c>
      <c r="H15" s="215">
        <v>-24.324324324324323</v>
      </c>
    </row>
    <row r="16" spans="1:17" s="55" customFormat="1" ht="3.05" customHeight="1" thickBot="1" x14ac:dyDescent="0.35">
      <c r="B16" s="69"/>
      <c r="C16" s="70"/>
      <c r="D16" s="70"/>
      <c r="E16" s="287"/>
      <c r="F16" s="70"/>
      <c r="G16" s="70"/>
      <c r="H16" s="287"/>
      <c r="I16" s="70"/>
      <c r="J16" s="70"/>
      <c r="K16" s="70"/>
      <c r="L16" s="70"/>
      <c r="M16" s="54"/>
      <c r="N16" s="54"/>
      <c r="O16" s="54"/>
      <c r="P16" s="54"/>
      <c r="Q16" s="54"/>
    </row>
    <row r="17" spans="2:17" ht="37.549999999999997" customHeight="1" thickBot="1" x14ac:dyDescent="0.35">
      <c r="B17" s="110" t="s" vm="48">
        <v>284</v>
      </c>
      <c r="C17" s="192">
        <v>20715722.029999997</v>
      </c>
      <c r="D17" s="192">
        <v>13832485.58</v>
      </c>
      <c r="E17" s="288">
        <v>-33.227113397408331</v>
      </c>
      <c r="F17" s="192">
        <v>2672</v>
      </c>
      <c r="G17" s="192">
        <v>2534</v>
      </c>
      <c r="H17" s="294">
        <v>-5.1646706586826383</v>
      </c>
    </row>
    <row r="18" spans="2:17" s="55" customFormat="1" ht="3.05" customHeight="1" x14ac:dyDescent="0.3">
      <c r="B18" s="69"/>
      <c r="C18" s="70"/>
      <c r="D18" s="70"/>
      <c r="E18" s="289"/>
      <c r="F18" s="70"/>
      <c r="G18" s="70"/>
      <c r="H18" s="289"/>
      <c r="I18" s="70"/>
      <c r="J18" s="70"/>
      <c r="K18" s="70"/>
      <c r="L18" s="70"/>
      <c r="M18" s="54"/>
      <c r="N18" s="54"/>
      <c r="O18" s="54"/>
      <c r="P18" s="54"/>
      <c r="Q18" s="54"/>
    </row>
    <row r="19" spans="2:17" ht="37.549999999999997" customHeight="1" x14ac:dyDescent="0.3">
      <c r="B19" s="14" t="s" vm="125">
        <v>285</v>
      </c>
      <c r="C19" s="189" vm="1926">
        <v>223678.04000000004</v>
      </c>
      <c r="D19" s="190" vm="1730">
        <v>37699.979999999996</v>
      </c>
      <c r="E19" s="290">
        <v>-83.145426345831723</v>
      </c>
      <c r="F19" s="190" vm="1848">
        <v>7</v>
      </c>
      <c r="G19" s="173" vm="1435">
        <v>0</v>
      </c>
      <c r="H19" s="291" t="s">
        <v>145</v>
      </c>
    </row>
    <row r="20" spans="2:17" ht="37.549999999999997" customHeight="1" x14ac:dyDescent="0.3">
      <c r="B20" s="14" t="s" vm="98">
        <v>286</v>
      </c>
      <c r="C20" s="189" vm="1760">
        <v>3267629.26</v>
      </c>
      <c r="D20" s="190" vm="1716">
        <v>12251836.32</v>
      </c>
      <c r="E20" s="215">
        <v>274.9457280842197</v>
      </c>
      <c r="F20" s="190" vm="1382">
        <v>48041</v>
      </c>
      <c r="G20" s="173" vm="1421">
        <v>253655</v>
      </c>
      <c r="H20" s="291">
        <v>427.99691929809956</v>
      </c>
    </row>
    <row r="21" spans="2:17" ht="37.549999999999997" customHeight="1" x14ac:dyDescent="0.3">
      <c r="B21" s="14" t="s" vm="169">
        <v>287</v>
      </c>
      <c r="C21" s="189" vm="920">
        <v>15410247.350000001</v>
      </c>
      <c r="D21" s="190" vm="1126">
        <v>15559040.020000001</v>
      </c>
      <c r="E21" s="215">
        <v>0.96554368415118574</v>
      </c>
      <c r="F21" s="190" vm="1327">
        <v>23506</v>
      </c>
      <c r="G21" s="173" vm="765">
        <v>28513</v>
      </c>
      <c r="H21" s="291">
        <v>21.300944439717526</v>
      </c>
    </row>
    <row r="22" spans="2:17" s="18" customFormat="1" ht="37.549999999999997" customHeight="1" x14ac:dyDescent="0.3">
      <c r="B22" s="14" t="s" vm="146">
        <v>288</v>
      </c>
      <c r="C22" s="189" vm="1323">
        <v>0</v>
      </c>
      <c r="D22" s="190" vm="847">
        <v>0</v>
      </c>
      <c r="E22" s="291" t="s">
        <v>145</v>
      </c>
      <c r="F22" s="190" vm="987">
        <v>0</v>
      </c>
      <c r="G22" s="173" vm="726">
        <v>0</v>
      </c>
      <c r="H22" s="291" t="s">
        <v>145</v>
      </c>
    </row>
    <row r="23" spans="2:17" s="18" customFormat="1" ht="37.549999999999997" customHeight="1" x14ac:dyDescent="0.3">
      <c r="B23" s="14" t="s" vm="124">
        <v>289</v>
      </c>
      <c r="C23" s="189" vm="1340">
        <v>3912080.6600000006</v>
      </c>
      <c r="D23" s="190" vm="1042">
        <v>2414387.6</v>
      </c>
      <c r="E23" s="215">
        <v>-38.283798064633977</v>
      </c>
      <c r="F23" s="190" vm="1931">
        <v>1437</v>
      </c>
      <c r="G23" s="173" vm="1841">
        <v>897</v>
      </c>
      <c r="H23" s="291">
        <v>-37.578288100208766</v>
      </c>
    </row>
    <row r="24" spans="2:17" s="55" customFormat="1" ht="3.05" customHeight="1" thickBot="1" x14ac:dyDescent="0.35">
      <c r="B24" s="69"/>
      <c r="C24" s="70"/>
      <c r="D24" s="70"/>
      <c r="E24" s="287" t="s">
        <v>145</v>
      </c>
      <c r="F24" s="70"/>
      <c r="G24" s="174"/>
      <c r="H24" s="293"/>
      <c r="I24" s="70"/>
      <c r="J24" s="70"/>
      <c r="K24" s="70"/>
      <c r="L24" s="70"/>
      <c r="M24" s="54"/>
      <c r="N24" s="54"/>
      <c r="O24" s="54"/>
      <c r="P24" s="54"/>
      <c r="Q24" s="54"/>
    </row>
    <row r="25" spans="2:17" ht="37.549999999999997" customHeight="1" thickBot="1" x14ac:dyDescent="0.35">
      <c r="B25" s="110" t="s" vm="45">
        <v>290</v>
      </c>
      <c r="C25" s="191">
        <v>22813635.310000002</v>
      </c>
      <c r="D25" s="192">
        <v>30262963.920000002</v>
      </c>
      <c r="E25" s="292">
        <v>32.652966126510762</v>
      </c>
      <c r="F25" s="192">
        <v>72991</v>
      </c>
      <c r="G25" s="196">
        <v>283065</v>
      </c>
      <c r="H25" s="295">
        <v>287.80808592840214</v>
      </c>
    </row>
    <row r="26" spans="2:17" s="55" customFormat="1" ht="3.05" customHeight="1" x14ac:dyDescent="0.3">
      <c r="B26" s="69"/>
      <c r="C26" s="70"/>
      <c r="D26" s="70"/>
      <c r="E26" s="293"/>
      <c r="F26" s="70"/>
      <c r="G26" s="174"/>
      <c r="H26" s="293"/>
      <c r="I26" s="70"/>
      <c r="J26" s="70"/>
      <c r="K26" s="70"/>
      <c r="L26" s="70"/>
      <c r="M26" s="54"/>
      <c r="N26" s="54"/>
      <c r="O26" s="54"/>
      <c r="P26" s="54"/>
      <c r="Q26" s="54"/>
    </row>
    <row r="27" spans="2:17" ht="23.3" customHeight="1" x14ac:dyDescent="0.3">
      <c r="B27" s="272" t="s">
        <v>61</v>
      </c>
      <c r="C27" s="277">
        <v>43529357.340000004</v>
      </c>
      <c r="D27" s="277">
        <v>44095449.5</v>
      </c>
      <c r="E27" s="299">
        <v>1.3004836151803403</v>
      </c>
      <c r="F27" s="275">
        <v>75663</v>
      </c>
      <c r="G27" s="273">
        <v>285599</v>
      </c>
      <c r="H27" s="299">
        <v>277.46190344025484</v>
      </c>
    </row>
    <row r="28" spans="2:17" x14ac:dyDescent="0.3">
      <c r="B28" s="75"/>
      <c r="C28" s="75"/>
      <c r="D28" s="75"/>
      <c r="E28" s="81"/>
      <c r="F28" s="75"/>
      <c r="G28" s="75"/>
      <c r="H28" s="81"/>
      <c r="I28" s="18"/>
      <c r="J28" s="18"/>
      <c r="K28" s="18"/>
      <c r="L28" s="18"/>
    </row>
    <row r="29" spans="2:17" x14ac:dyDescent="0.3">
      <c r="B29" s="75"/>
      <c r="C29" s="75"/>
      <c r="D29" s="75"/>
      <c r="E29" s="81"/>
      <c r="F29" s="75"/>
      <c r="G29" s="75"/>
      <c r="H29" s="81"/>
      <c r="I29" s="18"/>
      <c r="J29" s="18"/>
      <c r="K29" s="18"/>
      <c r="L29" s="18"/>
    </row>
  </sheetData>
  <mergeCells count="5">
    <mergeCell ref="B5:B6"/>
    <mergeCell ref="C5:E5"/>
    <mergeCell ref="F5:H5"/>
    <mergeCell ref="B1:H1"/>
    <mergeCell ref="B2:H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  <customProperties>
    <customPr name="Version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6" tint="0.39997558519241921"/>
    <pageSetUpPr fitToPage="1"/>
  </sheetPr>
  <dimension ref="A1:U34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7.3984375" style="8" bestFit="1" customWidth="1"/>
    <col min="4" max="4" width="9.796875" style="8" bestFit="1" customWidth="1"/>
    <col min="5" max="5" width="16.796875" style="8" bestFit="1" customWidth="1"/>
    <col min="6" max="6" width="9.796875" style="8" bestFit="1" customWidth="1"/>
    <col min="7" max="7" width="11.69921875" style="61" bestFit="1" customWidth="1"/>
    <col min="8" max="8" width="13.69921875" style="8" bestFit="1" customWidth="1"/>
    <col min="9" max="9" width="9.796875" style="8" bestFit="1" customWidth="1"/>
    <col min="10" max="10" width="13.69921875" style="8" bestFit="1" customWidth="1"/>
    <col min="11" max="11" width="9.796875" style="8" bestFit="1" customWidth="1"/>
    <col min="12" max="12" width="11.59765625" style="61" customWidth="1"/>
    <col min="13" max="16384" width="9.296875" style="8"/>
  </cols>
  <sheetData>
    <row r="1" spans="1:21" s="18" customFormat="1" ht="58.85" customHeight="1" x14ac:dyDescent="0.3">
      <c r="A1" s="18" t="s">
        <v>141</v>
      </c>
      <c r="B1" s="373" t="s">
        <v>274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111"/>
    </row>
    <row r="2" spans="1:21" s="18" customFormat="1" ht="13.3" x14ac:dyDescent="0.3">
      <c r="A2" s="112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21" ht="21.75" customHeight="1" x14ac:dyDescent="0.3"/>
    <row r="4" spans="1:21" ht="7.5" customHeight="1" thickBot="1" x14ac:dyDescent="0.4"/>
    <row r="5" spans="1:21" s="53" customFormat="1" x14ac:dyDescent="0.3">
      <c r="B5" s="369" t="s">
        <v>44</v>
      </c>
      <c r="C5" s="367" t="s">
        <v>37</v>
      </c>
      <c r="D5" s="367"/>
      <c r="E5" s="367"/>
      <c r="F5" s="367"/>
      <c r="G5" s="367"/>
      <c r="H5" s="367" t="s">
        <v>41</v>
      </c>
      <c r="I5" s="367"/>
      <c r="J5" s="367"/>
      <c r="K5" s="367"/>
      <c r="L5" s="368"/>
    </row>
    <row r="6" spans="1:21" s="54" customFormat="1" ht="23.85" thickBot="1" x14ac:dyDescent="0.35">
      <c r="B6" s="370"/>
      <c r="C6" s="6" t="s">
        <v>143</v>
      </c>
      <c r="D6" s="6" t="s">
        <v>38</v>
      </c>
      <c r="E6" s="6" t="s">
        <v>144</v>
      </c>
      <c r="F6" s="6" t="s">
        <v>38</v>
      </c>
      <c r="G6" s="22" t="s">
        <v>142</v>
      </c>
      <c r="H6" s="6" t="s">
        <v>143</v>
      </c>
      <c r="I6" s="6" t="s">
        <v>38</v>
      </c>
      <c r="J6" s="6" t="s">
        <v>144</v>
      </c>
      <c r="K6" s="6" t="s">
        <v>38</v>
      </c>
      <c r="L6" s="24" t="s">
        <v>142</v>
      </c>
    </row>
    <row r="7" spans="1:21" s="55" customFormat="1" ht="8.4499999999999993" customHeight="1" x14ac:dyDescent="0.3">
      <c r="C7" s="54"/>
      <c r="D7" s="54"/>
      <c r="E7" s="54"/>
      <c r="F7" s="54"/>
      <c r="G7" s="56"/>
      <c r="H7" s="54"/>
      <c r="I7" s="54"/>
      <c r="J7" s="54"/>
      <c r="K7" s="54"/>
      <c r="L7" s="56"/>
      <c r="M7" s="54"/>
      <c r="N7" s="54"/>
      <c r="O7" s="54"/>
      <c r="P7" s="54"/>
      <c r="Q7" s="54"/>
    </row>
    <row r="8" spans="1:21" s="18" customFormat="1" ht="37.549999999999997" customHeight="1" x14ac:dyDescent="0.3">
      <c r="B8" s="14" t="s" vm="168">
        <v>258</v>
      </c>
      <c r="C8" s="173" vm="1784">
        <v>102736689.23</v>
      </c>
      <c r="D8" s="181">
        <v>95.33</v>
      </c>
      <c r="E8" s="189" vm="1861">
        <v>107418603.59999999</v>
      </c>
      <c r="F8" s="181">
        <v>92.87</v>
      </c>
      <c r="G8" s="296">
        <v>4.5571980225277002</v>
      </c>
      <c r="H8" s="213" vm="1615">
        <v>46953</v>
      </c>
      <c r="I8" s="181">
        <v>79.040000000000006</v>
      </c>
      <c r="J8" s="189" vm="1469">
        <v>46977</v>
      </c>
      <c r="K8" s="181">
        <v>59.57</v>
      </c>
      <c r="L8" s="114">
        <v>5.1114944731949663E-2</v>
      </c>
    </row>
    <row r="9" spans="1:21" s="18" customFormat="1" ht="37.549999999999997" customHeight="1" x14ac:dyDescent="0.3">
      <c r="B9" s="14" t="s" vm="145">
        <v>259</v>
      </c>
      <c r="C9" s="173" vm="1162">
        <v>818693.84</v>
      </c>
      <c r="D9" s="181">
        <v>0.76</v>
      </c>
      <c r="E9" s="189" vm="1368">
        <v>1024921.8300000001</v>
      </c>
      <c r="F9" s="181">
        <v>0.89</v>
      </c>
      <c r="G9" s="296">
        <v>25.189879283811393</v>
      </c>
      <c r="H9" s="213" vm="1755">
        <v>804</v>
      </c>
      <c r="I9" s="181">
        <v>1.35</v>
      </c>
      <c r="J9" s="189" vm="1398">
        <v>909</v>
      </c>
      <c r="K9" s="181">
        <v>1.1499999999999999</v>
      </c>
      <c r="L9" s="114">
        <v>13.059701492537329</v>
      </c>
    </row>
    <row r="10" spans="1:21" s="18" customFormat="1" ht="35.450000000000003" customHeight="1" x14ac:dyDescent="0.3">
      <c r="B10" s="14" t="s" vm="123">
        <v>260</v>
      </c>
      <c r="C10" s="173" vm="1894">
        <v>4212892.41</v>
      </c>
      <c r="D10" s="181">
        <v>3.91</v>
      </c>
      <c r="E10" s="189" vm="974">
        <v>7212386.6400000006</v>
      </c>
      <c r="F10" s="181">
        <v>6.24</v>
      </c>
      <c r="G10" s="296">
        <v>71.197978445407301</v>
      </c>
      <c r="H10" s="213" vm="969">
        <v>11646</v>
      </c>
      <c r="I10" s="181">
        <v>19.61</v>
      </c>
      <c r="J10" s="189" vm="1793">
        <v>30975</v>
      </c>
      <c r="K10" s="181">
        <v>39.28</v>
      </c>
      <c r="L10" s="114">
        <v>165.97114889232353</v>
      </c>
    </row>
    <row r="11" spans="1:21" s="55" customFormat="1" ht="4.8499999999999996" customHeight="1" thickBot="1" x14ac:dyDescent="0.35">
      <c r="B11" s="69"/>
      <c r="C11" s="174"/>
      <c r="D11" s="70"/>
      <c r="E11" s="70"/>
      <c r="F11" s="70"/>
      <c r="G11" s="210"/>
      <c r="H11" s="70"/>
      <c r="I11" s="70"/>
      <c r="J11" s="70"/>
      <c r="K11" s="70"/>
      <c r="L11" s="224"/>
      <c r="M11" s="70"/>
      <c r="N11" s="70"/>
      <c r="O11" s="70"/>
      <c r="P11" s="70"/>
      <c r="Q11" s="54"/>
      <c r="R11" s="54"/>
      <c r="S11" s="54"/>
      <c r="T11" s="54"/>
      <c r="U11" s="54"/>
    </row>
    <row r="12" spans="1:21" ht="37.549999999999997" customHeight="1" thickBot="1" x14ac:dyDescent="0.35">
      <c r="B12" s="110" t="s" vm="36">
        <v>261</v>
      </c>
      <c r="C12" s="196">
        <v>107768275.48</v>
      </c>
      <c r="D12" s="202">
        <v>100</v>
      </c>
      <c r="E12" s="192">
        <v>115655912.06999999</v>
      </c>
      <c r="F12" s="201">
        <v>100</v>
      </c>
      <c r="G12" s="297">
        <v>7.3190709927095412</v>
      </c>
      <c r="H12" s="214">
        <v>59403</v>
      </c>
      <c r="I12" s="202">
        <v>100</v>
      </c>
      <c r="J12" s="192">
        <v>78861</v>
      </c>
      <c r="K12" s="202">
        <v>100</v>
      </c>
      <c r="L12" s="298">
        <v>32.755921418110177</v>
      </c>
    </row>
    <row r="13" spans="1:21" s="55" customFormat="1" ht="3.05" customHeight="1" x14ac:dyDescent="0.3">
      <c r="B13" s="69"/>
      <c r="C13" s="70"/>
      <c r="D13" s="70"/>
      <c r="E13" s="70"/>
      <c r="F13" s="70"/>
      <c r="G13" s="211"/>
      <c r="H13" s="70"/>
      <c r="I13" s="70"/>
      <c r="J13" s="70"/>
      <c r="K13" s="70"/>
      <c r="L13" s="225"/>
      <c r="M13" s="70"/>
      <c r="N13" s="70"/>
      <c r="O13" s="70"/>
      <c r="P13" s="70"/>
      <c r="Q13" s="54"/>
      <c r="R13" s="54"/>
      <c r="S13" s="54"/>
      <c r="T13" s="54"/>
      <c r="U13" s="54"/>
    </row>
    <row r="14" spans="1:21" ht="37.549999999999997" customHeight="1" x14ac:dyDescent="0.3">
      <c r="B14" s="14" t="s" vm="167">
        <v>262</v>
      </c>
      <c r="C14" s="190" vm="1618">
        <v>78365.64</v>
      </c>
      <c r="D14" s="181">
        <v>100</v>
      </c>
      <c r="E14" s="189" vm="1900">
        <v>68166.91</v>
      </c>
      <c r="F14" s="181">
        <v>100</v>
      </c>
      <c r="G14" s="296">
        <v>-13.014287894541525</v>
      </c>
      <c r="H14" s="213" vm="1450">
        <v>6</v>
      </c>
      <c r="I14" s="181">
        <v>100</v>
      </c>
      <c r="J14" s="189" vm="1482">
        <v>4</v>
      </c>
      <c r="K14" s="181">
        <v>100</v>
      </c>
      <c r="L14" s="114">
        <v>-33.333333333333343</v>
      </c>
    </row>
    <row r="15" spans="1:21" ht="3.05" customHeight="1" thickBot="1" x14ac:dyDescent="0.35">
      <c r="B15" s="26"/>
      <c r="C15" s="27"/>
      <c r="D15" s="207"/>
      <c r="E15" s="28"/>
      <c r="F15" s="28"/>
      <c r="G15" s="210"/>
      <c r="H15" s="37"/>
      <c r="I15" s="28"/>
      <c r="J15" s="29"/>
      <c r="K15" s="28"/>
      <c r="L15" s="176"/>
    </row>
    <row r="16" spans="1:21" ht="37.549999999999997" customHeight="1" thickBot="1" x14ac:dyDescent="0.35">
      <c r="B16" s="110" t="s" vm="51">
        <v>263</v>
      </c>
      <c r="C16" s="195">
        <v>78365.64</v>
      </c>
      <c r="D16" s="202">
        <v>100</v>
      </c>
      <c r="E16" s="191">
        <v>68166.91</v>
      </c>
      <c r="F16" s="203">
        <v>100</v>
      </c>
      <c r="G16" s="297">
        <v>-13.014287894541525</v>
      </c>
      <c r="H16" s="214">
        <v>6</v>
      </c>
      <c r="I16" s="202">
        <v>100</v>
      </c>
      <c r="J16" s="192">
        <v>4</v>
      </c>
      <c r="K16" s="216">
        <v>100</v>
      </c>
      <c r="L16" s="298">
        <v>-33.333333333333343</v>
      </c>
    </row>
    <row r="17" spans="2:21" ht="4.8499999999999996" customHeight="1" x14ac:dyDescent="0.3">
      <c r="B17" s="31"/>
      <c r="C17" s="197"/>
      <c r="D17" s="32"/>
      <c r="E17" s="32"/>
      <c r="F17" s="204"/>
      <c r="G17" s="211"/>
      <c r="H17" s="82"/>
      <c r="I17" s="32"/>
      <c r="J17" s="82"/>
      <c r="K17" s="217"/>
      <c r="L17" s="176"/>
    </row>
    <row r="18" spans="2:21" ht="41.95" customHeight="1" x14ac:dyDescent="0.3">
      <c r="B18" s="14" t="s" vm="122">
        <v>264</v>
      </c>
      <c r="C18" s="173" vm="1194">
        <v>3756897.74</v>
      </c>
      <c r="D18" s="181">
        <v>100</v>
      </c>
      <c r="E18" s="190" vm="1695">
        <v>2900719.61</v>
      </c>
      <c r="F18" s="182">
        <v>100</v>
      </c>
      <c r="G18" s="296">
        <v>-22.789497858411238</v>
      </c>
      <c r="H18" s="213" vm="1542">
        <v>17</v>
      </c>
      <c r="I18" s="181">
        <v>100</v>
      </c>
      <c r="J18" s="215" vm="1568">
        <v>18</v>
      </c>
      <c r="K18" s="218">
        <v>100</v>
      </c>
      <c r="L18" s="114">
        <v>5.8823529411764781</v>
      </c>
    </row>
    <row r="19" spans="2:21" ht="37.549999999999997" customHeight="1" x14ac:dyDescent="0.3">
      <c r="B19" s="14" t="s" vm="97">
        <v>265</v>
      </c>
      <c r="C19" s="173" vm="1901">
        <v>0</v>
      </c>
      <c r="D19" s="181">
        <v>0</v>
      </c>
      <c r="E19" s="190" vm="1453">
        <v>0</v>
      </c>
      <c r="F19" s="182">
        <v>0</v>
      </c>
      <c r="G19" s="296" t="s">
        <v>145</v>
      </c>
      <c r="H19" s="213" vm="1853">
        <v>0</v>
      </c>
      <c r="I19" s="181">
        <v>0</v>
      </c>
      <c r="J19" s="215" vm="1114">
        <v>0</v>
      </c>
      <c r="K19" s="218">
        <v>0</v>
      </c>
      <c r="L19" s="181" t="s">
        <v>145</v>
      </c>
    </row>
    <row r="20" spans="2:21" ht="4.8499999999999996" customHeight="1" thickBot="1" x14ac:dyDescent="0.35">
      <c r="B20" s="33"/>
      <c r="C20" s="198"/>
      <c r="D20" s="34"/>
      <c r="E20" s="34"/>
      <c r="F20" s="205"/>
      <c r="G20" s="210"/>
      <c r="H20" s="38"/>
      <c r="I20" s="34"/>
      <c r="J20" s="35"/>
      <c r="K20" s="219"/>
      <c r="L20" s="176"/>
    </row>
    <row r="21" spans="2:21" ht="37.549999999999997" customHeight="1" thickBot="1" x14ac:dyDescent="0.35">
      <c r="B21" s="110" t="s" vm="38">
        <v>266</v>
      </c>
      <c r="C21" s="196">
        <v>3756897.74</v>
      </c>
      <c r="D21" s="201">
        <v>100</v>
      </c>
      <c r="E21" s="195">
        <v>2900719.61</v>
      </c>
      <c r="F21" s="203">
        <v>100</v>
      </c>
      <c r="G21" s="297">
        <v>-22.789497858411238</v>
      </c>
      <c r="H21" s="214">
        <v>17</v>
      </c>
      <c r="I21" s="202">
        <v>100</v>
      </c>
      <c r="J21" s="192">
        <v>18</v>
      </c>
      <c r="K21" s="216">
        <v>100</v>
      </c>
      <c r="L21" s="298">
        <v>5.8823529411764781</v>
      </c>
    </row>
    <row r="22" spans="2:21" s="18" customFormat="1" ht="5.3" customHeight="1" x14ac:dyDescent="0.3">
      <c r="B22" s="14"/>
      <c r="C22" s="185"/>
      <c r="D22" s="15"/>
      <c r="E22" s="185"/>
      <c r="F22" s="208"/>
      <c r="G22" s="211"/>
      <c r="H22" s="36"/>
      <c r="I22" s="30"/>
      <c r="J22" s="17"/>
      <c r="K22" s="220"/>
      <c r="L22" s="176"/>
    </row>
    <row r="23" spans="2:21" s="18" customFormat="1" ht="31.85" customHeight="1" x14ac:dyDescent="0.3">
      <c r="B23" s="14" t="s" vm="144">
        <v>267</v>
      </c>
      <c r="C23" s="173" vm="1625">
        <v>41846632.609999999</v>
      </c>
      <c r="D23" s="181">
        <v>64.19</v>
      </c>
      <c r="E23" s="173" vm="701">
        <v>45610989.470000006</v>
      </c>
      <c r="F23" s="182">
        <v>67.290000000000006</v>
      </c>
      <c r="G23" s="296">
        <v>8.995602812495946</v>
      </c>
      <c r="H23" s="213" vm="1332">
        <v>1729</v>
      </c>
      <c r="I23" s="181">
        <v>91.63000000000001</v>
      </c>
      <c r="J23" s="189" vm="1918">
        <v>1645</v>
      </c>
      <c r="K23" s="218">
        <v>90.58</v>
      </c>
      <c r="L23" s="114">
        <v>-4.8582995951417018</v>
      </c>
    </row>
    <row r="24" spans="2:21" s="18" customFormat="1" ht="35.450000000000003" customHeight="1" x14ac:dyDescent="0.3">
      <c r="B24" s="14" t="s" vm="121">
        <v>268</v>
      </c>
      <c r="C24" s="173" vm="922">
        <v>507978.35</v>
      </c>
      <c r="D24" s="181">
        <v>0.78</v>
      </c>
      <c r="E24" s="173" vm="1832">
        <v>240098.14</v>
      </c>
      <c r="F24" s="182">
        <v>0.35</v>
      </c>
      <c r="G24" s="296">
        <v>-52.734572250963055</v>
      </c>
      <c r="H24" s="213" vm="1548">
        <v>72</v>
      </c>
      <c r="I24" s="181">
        <v>3.82</v>
      </c>
      <c r="J24" s="189" vm="1558">
        <v>61</v>
      </c>
      <c r="K24" s="218">
        <v>3.36</v>
      </c>
      <c r="L24" s="114">
        <v>-15.277777777777786</v>
      </c>
    </row>
    <row r="25" spans="2:21" s="18" customFormat="1" ht="35.450000000000003" customHeight="1" x14ac:dyDescent="0.3">
      <c r="B25" s="14" t="s" vm="96">
        <v>269</v>
      </c>
      <c r="C25" s="173" vm="1850">
        <v>0</v>
      </c>
      <c r="D25" s="181">
        <v>0</v>
      </c>
      <c r="E25" s="173" vm="1906">
        <v>0</v>
      </c>
      <c r="F25" s="182">
        <v>0</v>
      </c>
      <c r="G25" s="296" t="s">
        <v>145</v>
      </c>
      <c r="H25" s="213" vm="1738">
        <v>0</v>
      </c>
      <c r="I25" s="181">
        <v>0</v>
      </c>
      <c r="J25" s="189" vm="1605">
        <v>0</v>
      </c>
      <c r="K25" s="218">
        <v>0</v>
      </c>
      <c r="L25" s="181" t="s">
        <v>145</v>
      </c>
    </row>
    <row r="26" spans="2:21" s="18" customFormat="1" ht="35.450000000000003" customHeight="1" x14ac:dyDescent="0.3">
      <c r="B26" s="14" t="s" vm="166">
        <v>270</v>
      </c>
      <c r="C26" s="173" vm="1747">
        <v>3261551.99</v>
      </c>
      <c r="D26" s="181">
        <v>5</v>
      </c>
      <c r="E26" s="173" vm="1445">
        <v>1228452.29</v>
      </c>
      <c r="F26" s="182">
        <v>1.81</v>
      </c>
      <c r="G26" s="296">
        <v>-62.335345450065937</v>
      </c>
      <c r="H26" s="213" vm="1606">
        <v>16</v>
      </c>
      <c r="I26" s="181">
        <v>0.85</v>
      </c>
      <c r="J26" s="189" vm="1108">
        <v>12</v>
      </c>
      <c r="K26" s="218">
        <v>0.66</v>
      </c>
      <c r="L26" s="114">
        <v>-25</v>
      </c>
    </row>
    <row r="27" spans="2:21" s="18" customFormat="1" ht="37.549999999999997" customHeight="1" x14ac:dyDescent="0.3">
      <c r="B27" s="14" t="s" vm="143">
        <v>271</v>
      </c>
      <c r="C27" s="173" vm="1809">
        <v>19218506.280000001</v>
      </c>
      <c r="D27" s="181">
        <v>29.48</v>
      </c>
      <c r="E27" s="173" vm="1199">
        <v>20284269.879999999</v>
      </c>
      <c r="F27" s="182">
        <v>29.93</v>
      </c>
      <c r="G27" s="296">
        <v>5.5455069424885437</v>
      </c>
      <c r="H27" s="213" vm="1761">
        <v>5</v>
      </c>
      <c r="I27" s="181">
        <v>0.26</v>
      </c>
      <c r="J27" s="189" vm="1724">
        <v>4</v>
      </c>
      <c r="K27" s="218">
        <v>0.22</v>
      </c>
      <c r="L27" s="114">
        <v>-20</v>
      </c>
    </row>
    <row r="28" spans="2:21" s="18" customFormat="1" ht="37.549999999999997" customHeight="1" x14ac:dyDescent="0.3">
      <c r="B28" s="14" t="s" vm="120">
        <v>272</v>
      </c>
      <c r="C28" s="173" vm="1929">
        <v>360720.34</v>
      </c>
      <c r="D28" s="181">
        <v>0.55000000000000004</v>
      </c>
      <c r="E28" s="173" vm="1579">
        <v>418650.33999999997</v>
      </c>
      <c r="F28" s="182">
        <v>0.62</v>
      </c>
      <c r="G28" s="296">
        <v>16.059532434461545</v>
      </c>
      <c r="H28" s="213" vm="991">
        <v>65</v>
      </c>
      <c r="I28" s="181">
        <v>3.44</v>
      </c>
      <c r="J28" s="189" vm="1410">
        <v>94</v>
      </c>
      <c r="K28" s="218">
        <v>5.18</v>
      </c>
      <c r="L28" s="114">
        <v>44.615384615384613</v>
      </c>
    </row>
    <row r="29" spans="2:21" s="55" customFormat="1" ht="3.75" customHeight="1" thickBot="1" x14ac:dyDescent="0.35">
      <c r="C29" s="199"/>
      <c r="E29" s="199"/>
      <c r="F29" s="206"/>
      <c r="G29" s="210"/>
      <c r="K29" s="221"/>
      <c r="L29" s="176"/>
      <c r="M29" s="70"/>
      <c r="N29" s="70"/>
      <c r="O29" s="70"/>
      <c r="P29" s="70"/>
      <c r="Q29" s="54"/>
      <c r="R29" s="54"/>
      <c r="S29" s="54"/>
      <c r="T29" s="54"/>
      <c r="U29" s="54"/>
    </row>
    <row r="30" spans="2:21" ht="37.549999999999997" customHeight="1" thickBot="1" x14ac:dyDescent="0.35">
      <c r="B30" s="110" t="s" vm="44">
        <v>273</v>
      </c>
      <c r="C30" s="196">
        <v>65195389.570000008</v>
      </c>
      <c r="D30" s="202">
        <v>100</v>
      </c>
      <c r="E30" s="195">
        <v>67782460.120000005</v>
      </c>
      <c r="F30" s="203">
        <v>100</v>
      </c>
      <c r="G30" s="297">
        <v>3.968180214986333</v>
      </c>
      <c r="H30" s="214">
        <v>1887</v>
      </c>
      <c r="I30" s="202">
        <v>100</v>
      </c>
      <c r="J30" s="192">
        <v>1816</v>
      </c>
      <c r="K30" s="216">
        <v>100</v>
      </c>
      <c r="L30" s="298">
        <v>-3.7625861155272844</v>
      </c>
    </row>
    <row r="31" spans="2:21" s="55" customFormat="1" ht="3.75" customHeight="1" x14ac:dyDescent="0.3">
      <c r="B31" s="69"/>
      <c r="C31" s="184"/>
      <c r="D31" s="70"/>
      <c r="E31" s="184"/>
      <c r="F31" s="188"/>
      <c r="G31" s="212"/>
      <c r="H31" s="70"/>
      <c r="I31" s="70"/>
      <c r="J31" s="70"/>
      <c r="K31" s="222"/>
      <c r="L31" s="176"/>
      <c r="M31" s="70"/>
      <c r="N31" s="70"/>
      <c r="O31" s="70"/>
      <c r="P31" s="70"/>
      <c r="Q31" s="54"/>
      <c r="R31" s="54"/>
      <c r="S31" s="54"/>
      <c r="T31" s="54"/>
      <c r="U31" s="54"/>
    </row>
    <row r="32" spans="2:21" ht="23.3" customHeight="1" x14ac:dyDescent="0.3">
      <c r="B32" s="241" t="s">
        <v>62</v>
      </c>
      <c r="C32" s="300">
        <v>176798928.43000001</v>
      </c>
      <c r="D32" s="301"/>
      <c r="E32" s="273">
        <v>186407258.70999998</v>
      </c>
      <c r="F32" s="302"/>
      <c r="G32" s="303">
        <v>5.4346088889357702</v>
      </c>
      <c r="H32" s="277">
        <v>61313</v>
      </c>
      <c r="I32" s="301"/>
      <c r="J32" s="277">
        <v>80699</v>
      </c>
      <c r="K32" s="304"/>
      <c r="L32" s="305">
        <v>31.618090780095571</v>
      </c>
    </row>
    <row r="33" spans="2:16" x14ac:dyDescent="0.3">
      <c r="B33" s="75"/>
      <c r="C33" s="75"/>
      <c r="D33" s="75"/>
      <c r="E33" s="75"/>
      <c r="F33" s="75"/>
      <c r="G33" s="81"/>
      <c r="H33" s="75"/>
      <c r="I33" s="75"/>
      <c r="J33" s="75"/>
      <c r="K33" s="75"/>
      <c r="L33" s="81"/>
      <c r="M33" s="18"/>
      <c r="N33" s="18"/>
      <c r="O33" s="18"/>
      <c r="P33" s="18"/>
    </row>
    <row r="34" spans="2:16" x14ac:dyDescent="0.3">
      <c r="B34" s="75"/>
      <c r="C34" s="75"/>
      <c r="D34" s="75"/>
      <c r="E34" s="75"/>
      <c r="F34" s="75"/>
      <c r="G34" s="81"/>
      <c r="H34" s="75"/>
      <c r="I34" s="75"/>
      <c r="J34" s="75"/>
      <c r="K34" s="75"/>
      <c r="L34" s="81"/>
      <c r="M34" s="18"/>
      <c r="N34" s="18"/>
      <c r="O34" s="18"/>
      <c r="P34" s="18"/>
    </row>
  </sheetData>
  <mergeCells count="5">
    <mergeCell ref="B5:B6"/>
    <mergeCell ref="C5:G5"/>
    <mergeCell ref="H5:L5"/>
    <mergeCell ref="B1:L1"/>
    <mergeCell ref="B2:L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  <customProperties>
    <customPr name="Version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6" tint="0.39997558519241921"/>
    <pageSetUpPr fitToPage="1"/>
  </sheetPr>
  <dimension ref="A1:Q34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64.296875" style="8" customWidth="1"/>
    <col min="3" max="4" width="16.69921875" style="8" bestFit="1" customWidth="1"/>
    <col min="5" max="5" width="11.59765625" style="61" bestFit="1" customWidth="1"/>
    <col min="6" max="7" width="13.59765625" style="8" bestFit="1" customWidth="1"/>
    <col min="8" max="8" width="11.59765625" style="61" customWidth="1"/>
    <col min="9" max="16384" width="9.296875" style="8"/>
  </cols>
  <sheetData>
    <row r="1" spans="1:17" s="18" customFormat="1" ht="58.85" customHeight="1" x14ac:dyDescent="0.3">
      <c r="A1" s="18" t="s">
        <v>141</v>
      </c>
      <c r="B1" s="373" t="s">
        <v>257</v>
      </c>
      <c r="C1" s="373"/>
      <c r="D1" s="373"/>
      <c r="E1" s="373"/>
      <c r="F1" s="373"/>
      <c r="G1" s="373"/>
      <c r="H1" s="373"/>
      <c r="I1" s="111"/>
    </row>
    <row r="2" spans="1:17" s="18" customFormat="1" ht="13.3" x14ac:dyDescent="0.3">
      <c r="A2" s="112"/>
      <c r="B2" s="87"/>
      <c r="C2" s="87"/>
      <c r="D2" s="87"/>
      <c r="E2" s="87"/>
      <c r="F2" s="87"/>
      <c r="G2" s="87"/>
      <c r="H2" s="87"/>
    </row>
    <row r="3" spans="1:17" ht="21.75" customHeight="1" x14ac:dyDescent="0.3"/>
    <row r="4" spans="1:17" ht="7.5" customHeight="1" thickBot="1" x14ac:dyDescent="0.4"/>
    <row r="5" spans="1:17" s="53" customFormat="1" ht="14.95" customHeight="1" x14ac:dyDescent="0.3">
      <c r="B5" s="369" t="s">
        <v>44</v>
      </c>
      <c r="C5" s="367" t="s">
        <v>43</v>
      </c>
      <c r="D5" s="367"/>
      <c r="E5" s="367"/>
      <c r="F5" s="367" t="s">
        <v>42</v>
      </c>
      <c r="G5" s="367"/>
      <c r="H5" s="368"/>
    </row>
    <row r="6" spans="1:17" s="54" customFormat="1" ht="23.85" thickBot="1" x14ac:dyDescent="0.35">
      <c r="B6" s="370"/>
      <c r="C6" s="6" t="s">
        <v>143</v>
      </c>
      <c r="D6" s="6" t="s">
        <v>144</v>
      </c>
      <c r="E6" s="22" t="s">
        <v>142</v>
      </c>
      <c r="F6" s="6" t="s">
        <v>143</v>
      </c>
      <c r="G6" s="6" t="s">
        <v>144</v>
      </c>
      <c r="H6" s="24" t="s">
        <v>142</v>
      </c>
    </row>
    <row r="7" spans="1:17" s="55" customFormat="1" ht="8.4499999999999993" customHeight="1" x14ac:dyDescent="0.3">
      <c r="C7" s="54"/>
      <c r="D7" s="54"/>
      <c r="E7" s="56"/>
      <c r="F7" s="54"/>
      <c r="G7" s="54"/>
      <c r="H7" s="56"/>
      <c r="I7" s="54"/>
      <c r="J7" s="54"/>
      <c r="K7" s="54"/>
      <c r="L7" s="54"/>
      <c r="M7" s="54"/>
    </row>
    <row r="8" spans="1:17" s="18" customFormat="1" ht="37.549999999999997" customHeight="1" x14ac:dyDescent="0.3">
      <c r="B8" s="14" t="s" vm="168">
        <v>258</v>
      </c>
      <c r="C8" s="185" vm="1434">
        <v>96022033.639999986</v>
      </c>
      <c r="D8" s="185" vm="1729">
        <v>88025954.090000004</v>
      </c>
      <c r="E8" s="308">
        <v>-8.327338264859506</v>
      </c>
      <c r="F8" s="228" vm="1934">
        <v>15579</v>
      </c>
      <c r="G8" s="185" vm="1878">
        <v>16089</v>
      </c>
      <c r="H8" s="181">
        <v>3.2736375890622043</v>
      </c>
    </row>
    <row r="9" spans="1:17" s="18" customFormat="1" ht="37.549999999999997" customHeight="1" x14ac:dyDescent="0.3">
      <c r="B9" s="14" t="s" vm="145">
        <v>259</v>
      </c>
      <c r="C9" s="185" vm="1361">
        <v>644460.06999999995</v>
      </c>
      <c r="D9" s="185" vm="1938">
        <v>586566.39</v>
      </c>
      <c r="E9" s="306">
        <v>-8.9832842552991679</v>
      </c>
      <c r="F9" s="228" vm="1711">
        <v>80</v>
      </c>
      <c r="G9" s="185" vm="1584">
        <v>60</v>
      </c>
      <c r="H9" s="291">
        <v>-25</v>
      </c>
    </row>
    <row r="10" spans="1:17" s="18" customFormat="1" ht="35.450000000000003" customHeight="1" x14ac:dyDescent="0.3">
      <c r="B10" s="14" t="s" vm="123">
        <v>260</v>
      </c>
      <c r="C10" s="185" vm="1677">
        <v>3081587.5500000003</v>
      </c>
      <c r="D10" s="185" vm="1409">
        <v>2792837.5900000003</v>
      </c>
      <c r="E10" s="307">
        <v>-9.3701689572311579</v>
      </c>
      <c r="F10" s="228" vm="1578">
        <v>1107</v>
      </c>
      <c r="G10" s="185" vm="1633">
        <v>1330</v>
      </c>
      <c r="H10" s="291">
        <v>20.14453477868112</v>
      </c>
    </row>
    <row r="11" spans="1:17" s="55" customFormat="1" ht="4.8499999999999996" customHeight="1" thickBot="1" x14ac:dyDescent="0.35">
      <c r="B11" s="69"/>
      <c r="C11" s="184"/>
      <c r="D11" s="184"/>
      <c r="E11" s="210"/>
      <c r="F11" s="174"/>
      <c r="G11" s="233"/>
      <c r="H11" s="223"/>
      <c r="I11" s="70"/>
      <c r="J11" s="70"/>
      <c r="K11" s="70"/>
      <c r="L11" s="70"/>
      <c r="M11" s="54"/>
      <c r="N11" s="54"/>
      <c r="O11" s="54"/>
      <c r="P11" s="54"/>
      <c r="Q11" s="54"/>
    </row>
    <row r="12" spans="1:17" ht="37.549999999999997" customHeight="1" thickBot="1" x14ac:dyDescent="0.35">
      <c r="B12" s="110" t="s" vm="36">
        <v>261</v>
      </c>
      <c r="C12" s="195">
        <v>99748081.259999976</v>
      </c>
      <c r="D12" s="195">
        <v>91405358.070000008</v>
      </c>
      <c r="E12" s="295">
        <v>-8.3637931523255133</v>
      </c>
      <c r="F12" s="229">
        <v>16766</v>
      </c>
      <c r="G12" s="195">
        <v>17479</v>
      </c>
      <c r="H12" s="295">
        <v>4.2526541810807572</v>
      </c>
    </row>
    <row r="13" spans="1:17" s="55" customFormat="1" ht="3.05" customHeight="1" x14ac:dyDescent="0.3">
      <c r="B13" s="69"/>
      <c r="C13" s="184"/>
      <c r="D13" s="184"/>
      <c r="E13" s="211"/>
      <c r="F13" s="174"/>
      <c r="G13" s="233"/>
      <c r="H13" s="234"/>
      <c r="I13" s="70"/>
      <c r="J13" s="70"/>
      <c r="K13" s="70"/>
      <c r="L13" s="70"/>
      <c r="M13" s="54"/>
      <c r="N13" s="54"/>
      <c r="O13" s="54"/>
      <c r="P13" s="54"/>
      <c r="Q13" s="54"/>
    </row>
    <row r="14" spans="1:17" ht="37.549999999999997" customHeight="1" x14ac:dyDescent="0.3">
      <c r="B14" s="14" t="s" vm="167">
        <v>262</v>
      </c>
      <c r="C14" s="185" vm="911">
        <v>41434.86</v>
      </c>
      <c r="D14" s="185" vm="1385">
        <v>200268.19999999998</v>
      </c>
      <c r="E14" s="307">
        <v>383.33263343957231</v>
      </c>
      <c r="F14" s="228" vm="1328">
        <v>51</v>
      </c>
      <c r="G14" s="185" vm="1363">
        <v>56</v>
      </c>
      <c r="H14" s="291">
        <v>9.8039215686274588</v>
      </c>
    </row>
    <row r="15" spans="1:17" ht="3.05" customHeight="1" thickBot="1" x14ac:dyDescent="0.35">
      <c r="B15" s="26"/>
      <c r="C15" s="226"/>
      <c r="D15" s="226"/>
      <c r="E15" s="210"/>
      <c r="F15" s="230"/>
      <c r="G15" s="226"/>
      <c r="H15" s="235"/>
    </row>
    <row r="16" spans="1:17" ht="37.549999999999997" customHeight="1" thickBot="1" x14ac:dyDescent="0.35">
      <c r="B16" s="110" t="s" vm="51">
        <v>263</v>
      </c>
      <c r="C16" s="195">
        <v>41434.86</v>
      </c>
      <c r="D16" s="195">
        <v>200268.19999999998</v>
      </c>
      <c r="E16" s="295">
        <v>383.33263343957231</v>
      </c>
      <c r="F16" s="229">
        <v>51</v>
      </c>
      <c r="G16" s="195">
        <v>56</v>
      </c>
      <c r="H16" s="295">
        <v>9.8039215686274588</v>
      </c>
    </row>
    <row r="17" spans="2:17" ht="4.8499999999999996" customHeight="1" x14ac:dyDescent="0.3">
      <c r="B17" s="31"/>
      <c r="C17" s="197"/>
      <c r="D17" s="197"/>
      <c r="E17" s="211"/>
      <c r="F17" s="231"/>
      <c r="G17" s="197"/>
      <c r="H17" s="235"/>
    </row>
    <row r="18" spans="2:17" ht="41.95" customHeight="1" x14ac:dyDescent="0.3">
      <c r="B18" s="14" t="s" vm="122">
        <v>264</v>
      </c>
      <c r="C18" s="185" vm="963">
        <v>1800</v>
      </c>
      <c r="D18" s="185" vm="1306">
        <v>434339.6</v>
      </c>
      <c r="E18" s="307">
        <v>24029.977777777778</v>
      </c>
      <c r="F18" s="228" vm="1826">
        <v>0</v>
      </c>
      <c r="G18" s="185" vm="1167">
        <v>2</v>
      </c>
      <c r="H18" s="291" t="s">
        <v>145</v>
      </c>
    </row>
    <row r="19" spans="2:17" ht="37.549999999999997" customHeight="1" x14ac:dyDescent="0.3">
      <c r="B19" s="14" t="s" vm="97">
        <v>265</v>
      </c>
      <c r="C19" s="185" vm="1889">
        <v>0</v>
      </c>
      <c r="D19" s="185" vm="1134">
        <v>0</v>
      </c>
      <c r="E19" s="307" t="s">
        <v>145</v>
      </c>
      <c r="F19" s="228" vm="1628">
        <v>0</v>
      </c>
      <c r="G19" s="185" vm="830">
        <v>0</v>
      </c>
      <c r="H19" s="291" t="s">
        <v>145</v>
      </c>
    </row>
    <row r="20" spans="2:17" ht="4.8499999999999996" customHeight="1" thickBot="1" x14ac:dyDescent="0.35">
      <c r="B20" s="33"/>
      <c r="C20" s="198"/>
      <c r="D20" s="198"/>
      <c r="E20" s="210"/>
      <c r="F20" s="232"/>
      <c r="G20" s="198"/>
      <c r="H20" s="235"/>
    </row>
    <row r="21" spans="2:17" ht="37.549999999999997" customHeight="1" thickBot="1" x14ac:dyDescent="0.35">
      <c r="B21" s="110" t="s" vm="38">
        <v>266</v>
      </c>
      <c r="C21" s="195">
        <v>1800</v>
      </c>
      <c r="D21" s="195">
        <v>434339.6</v>
      </c>
      <c r="E21" s="295">
        <v>24029.977777777778</v>
      </c>
      <c r="F21" s="229">
        <v>0</v>
      </c>
      <c r="G21" s="195">
        <v>2</v>
      </c>
      <c r="H21" s="295" t="s">
        <v>145</v>
      </c>
    </row>
    <row r="22" spans="2:17" s="18" customFormat="1" ht="5.3" customHeight="1" x14ac:dyDescent="0.3">
      <c r="B22" s="14"/>
      <c r="C22" s="185"/>
      <c r="D22" s="185"/>
      <c r="E22" s="211"/>
      <c r="F22" s="228"/>
      <c r="G22" s="185"/>
      <c r="H22" s="235"/>
    </row>
    <row r="23" spans="2:17" s="18" customFormat="1" ht="31.85" customHeight="1" x14ac:dyDescent="0.3">
      <c r="B23" s="14" t="s" vm="144">
        <v>267</v>
      </c>
      <c r="C23" s="185" vm="1172">
        <v>17102642.559999999</v>
      </c>
      <c r="D23" s="185" vm="1243">
        <v>16431556.4</v>
      </c>
      <c r="E23" s="307">
        <v>-3.9238740893149924</v>
      </c>
      <c r="F23" s="228" vm="956">
        <v>210</v>
      </c>
      <c r="G23" s="185" vm="1303">
        <v>209</v>
      </c>
      <c r="H23" s="291">
        <v>-0.4761904761904816</v>
      </c>
    </row>
    <row r="24" spans="2:17" s="18" customFormat="1" ht="35.450000000000003" customHeight="1" x14ac:dyDescent="0.3">
      <c r="B24" s="14" t="s" vm="121">
        <v>268</v>
      </c>
      <c r="C24" s="185" vm="1708">
        <v>31174.21</v>
      </c>
      <c r="D24" s="185" vm="1842">
        <v>325062</v>
      </c>
      <c r="E24" s="307">
        <v>942.72730567991948</v>
      </c>
      <c r="F24" s="228" vm="1413">
        <v>0</v>
      </c>
      <c r="G24" s="185" vm="1582">
        <v>6</v>
      </c>
      <c r="H24" s="291" t="s">
        <v>145</v>
      </c>
    </row>
    <row r="25" spans="2:17" s="18" customFormat="1" ht="35.450000000000003" customHeight="1" x14ac:dyDescent="0.3">
      <c r="B25" s="14" t="s" vm="96">
        <v>269</v>
      </c>
      <c r="C25" s="185" vm="1365">
        <v>0</v>
      </c>
      <c r="D25" s="185" vm="1360">
        <v>0</v>
      </c>
      <c r="E25" s="307" t="s">
        <v>145</v>
      </c>
      <c r="F25" s="228" vm="921">
        <v>0</v>
      </c>
      <c r="G25" s="185" vm="1547">
        <v>0</v>
      </c>
      <c r="H25" s="291" t="s">
        <v>145</v>
      </c>
    </row>
    <row r="26" spans="2:17" s="18" customFormat="1" ht="35.450000000000003" customHeight="1" x14ac:dyDescent="0.3">
      <c r="B26" s="14" t="s" vm="166">
        <v>270</v>
      </c>
      <c r="C26" s="185" vm="1777">
        <v>0</v>
      </c>
      <c r="D26" s="185" vm="904">
        <v>0</v>
      </c>
      <c r="E26" s="307" t="s">
        <v>145</v>
      </c>
      <c r="F26" s="228" vm="1672">
        <v>0</v>
      </c>
      <c r="G26" s="185" vm="743">
        <v>0</v>
      </c>
      <c r="H26" s="291" t="s">
        <v>145</v>
      </c>
    </row>
    <row r="27" spans="2:17" s="18" customFormat="1" ht="37.549999999999997" customHeight="1" x14ac:dyDescent="0.3">
      <c r="B27" s="14" t="s" vm="143">
        <v>271</v>
      </c>
      <c r="C27" s="185" vm="851">
        <v>0</v>
      </c>
      <c r="D27" s="185" vm="1120">
        <v>0</v>
      </c>
      <c r="E27" s="307" t="s">
        <v>145</v>
      </c>
      <c r="F27" s="228" vm="1367">
        <v>0</v>
      </c>
      <c r="G27" s="185" vm="770">
        <v>0</v>
      </c>
      <c r="H27" s="291" t="s">
        <v>145</v>
      </c>
    </row>
    <row r="28" spans="2:17" s="18" customFormat="1" ht="37.549999999999997" customHeight="1" x14ac:dyDescent="0.3">
      <c r="B28" s="14" t="s" vm="120">
        <v>272</v>
      </c>
      <c r="C28" s="185" vm="1170">
        <v>34743.089999999997</v>
      </c>
      <c r="D28" s="185" vm="1021">
        <v>24242.899999999998</v>
      </c>
      <c r="E28" s="307">
        <v>-30.222383789121807</v>
      </c>
      <c r="F28" s="228" vm="1557">
        <v>5</v>
      </c>
      <c r="G28" s="185" vm="798">
        <v>2</v>
      </c>
      <c r="H28" s="291">
        <v>-60</v>
      </c>
    </row>
    <row r="29" spans="2:17" s="55" customFormat="1" ht="3.75" customHeight="1" thickBot="1" x14ac:dyDescent="0.35">
      <c r="C29" s="199"/>
      <c r="D29" s="199"/>
      <c r="E29" s="210"/>
      <c r="F29" s="178"/>
      <c r="G29" s="199"/>
      <c r="H29" s="235"/>
      <c r="I29" s="70"/>
      <c r="J29" s="70"/>
      <c r="K29" s="70"/>
      <c r="L29" s="70"/>
      <c r="M29" s="54"/>
      <c r="N29" s="54"/>
      <c r="O29" s="54"/>
      <c r="P29" s="54"/>
      <c r="Q29" s="54"/>
    </row>
    <row r="30" spans="2:17" ht="37.549999999999997" customHeight="1" thickBot="1" x14ac:dyDescent="0.35">
      <c r="B30" s="110" t="s" vm="44">
        <v>273</v>
      </c>
      <c r="C30" s="195">
        <v>17168559.859999999</v>
      </c>
      <c r="D30" s="195">
        <v>16780861.300000001</v>
      </c>
      <c r="E30" s="295">
        <v>-2.2581891734744488</v>
      </c>
      <c r="F30" s="229">
        <v>215</v>
      </c>
      <c r="G30" s="195">
        <v>217</v>
      </c>
      <c r="H30" s="295">
        <v>0.93023255813953654</v>
      </c>
    </row>
    <row r="31" spans="2:17" s="55" customFormat="1" ht="3.75" customHeight="1" x14ac:dyDescent="0.3">
      <c r="B31" s="69"/>
      <c r="C31" s="184"/>
      <c r="D31" s="184"/>
      <c r="E31" s="212"/>
      <c r="F31" s="174"/>
      <c r="G31" s="233"/>
      <c r="H31" s="235"/>
      <c r="I31" s="70"/>
      <c r="J31" s="70"/>
      <c r="K31" s="70"/>
      <c r="L31" s="70"/>
      <c r="M31" s="54"/>
      <c r="N31" s="54"/>
      <c r="O31" s="54"/>
      <c r="P31" s="54"/>
      <c r="Q31" s="54"/>
    </row>
    <row r="32" spans="2:17" ht="23.3" customHeight="1" x14ac:dyDescent="0.3">
      <c r="B32" s="241" t="s">
        <v>62</v>
      </c>
      <c r="C32" s="300">
        <v>116959875.97999997</v>
      </c>
      <c r="D32" s="300">
        <v>108820827.17</v>
      </c>
      <c r="E32" s="310">
        <v>-6.9588384407929311</v>
      </c>
      <c r="F32" s="273">
        <v>17032</v>
      </c>
      <c r="G32" s="300">
        <v>17754</v>
      </c>
      <c r="H32" s="311">
        <v>4.2390793799905993</v>
      </c>
    </row>
    <row r="33" spans="2:12" x14ac:dyDescent="0.3">
      <c r="B33" s="75"/>
      <c r="C33" s="75"/>
      <c r="D33" s="75"/>
      <c r="E33" s="81"/>
      <c r="F33" s="75"/>
      <c r="G33" s="75"/>
      <c r="H33" s="81"/>
      <c r="I33" s="18"/>
      <c r="J33" s="18"/>
      <c r="K33" s="18"/>
      <c r="L33" s="18"/>
    </row>
    <row r="34" spans="2:12" x14ac:dyDescent="0.3">
      <c r="B34" s="75"/>
      <c r="C34" s="75"/>
      <c r="D34" s="75"/>
      <c r="E34" s="81"/>
      <c r="F34" s="75"/>
      <c r="G34" s="75"/>
      <c r="H34" s="81"/>
      <c r="I34" s="18"/>
      <c r="J34" s="18"/>
      <c r="K34" s="18"/>
      <c r="L34" s="18"/>
    </row>
  </sheetData>
  <mergeCells count="4">
    <mergeCell ref="B5:B6"/>
    <mergeCell ref="C5:E5"/>
    <mergeCell ref="F5:H5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  <customProperties>
    <customPr name="Version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6" tint="0.39997558519241921"/>
    <pageSetUpPr fitToPage="1"/>
  </sheetPr>
  <dimension ref="A1:U35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7.3984375" style="8" bestFit="1" customWidth="1"/>
    <col min="4" max="4" width="11.3984375" style="8" bestFit="1" customWidth="1"/>
    <col min="5" max="5" width="17.3984375" style="8" bestFit="1" customWidth="1"/>
    <col min="6" max="6" width="11.3984375" style="8" bestFit="1" customWidth="1"/>
    <col min="7" max="7" width="11.69921875" style="61" bestFit="1" customWidth="1"/>
    <col min="8" max="8" width="13.69921875" style="8" bestFit="1" customWidth="1"/>
    <col min="9" max="9" width="12.3984375" style="8" bestFit="1" customWidth="1"/>
    <col min="10" max="10" width="13.69921875" style="8" bestFit="1" customWidth="1"/>
    <col min="11" max="11" width="12.3984375" style="8" bestFit="1" customWidth="1"/>
    <col min="12" max="12" width="11.59765625" style="61" customWidth="1"/>
    <col min="13" max="16384" width="9.296875" style="8"/>
  </cols>
  <sheetData>
    <row r="1" spans="1:21" s="18" customFormat="1" ht="58.85" customHeight="1" x14ac:dyDescent="0.3">
      <c r="A1" s="18" t="s">
        <v>141</v>
      </c>
      <c r="B1" s="373" t="s">
        <v>256</v>
      </c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21" s="18" customFormat="1" ht="13.3" x14ac:dyDescent="0.3">
      <c r="A2" s="112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21" ht="21.75" customHeight="1" x14ac:dyDescent="0.3"/>
    <row r="4" spans="1:21" ht="7.5" customHeight="1" thickBot="1" x14ac:dyDescent="0.4"/>
    <row r="5" spans="1:21" s="53" customFormat="1" ht="14.95" customHeight="1" x14ac:dyDescent="0.3">
      <c r="B5" s="369" t="s">
        <v>44</v>
      </c>
      <c r="C5" s="367" t="s">
        <v>37</v>
      </c>
      <c r="D5" s="367"/>
      <c r="E5" s="367"/>
      <c r="F5" s="367"/>
      <c r="G5" s="367"/>
      <c r="H5" s="367" t="s">
        <v>41</v>
      </c>
      <c r="I5" s="367"/>
      <c r="J5" s="367"/>
      <c r="K5" s="367"/>
      <c r="L5" s="368"/>
    </row>
    <row r="6" spans="1:21" s="54" customFormat="1" ht="23.85" thickBot="1" x14ac:dyDescent="0.35">
      <c r="B6" s="370"/>
      <c r="C6" s="6" t="s">
        <v>143</v>
      </c>
      <c r="D6" s="6" t="s">
        <v>38</v>
      </c>
      <c r="E6" s="6" t="s">
        <v>144</v>
      </c>
      <c r="F6" s="6" t="s">
        <v>38</v>
      </c>
      <c r="G6" s="22" t="s">
        <v>142</v>
      </c>
      <c r="H6" s="6" t="s">
        <v>143</v>
      </c>
      <c r="I6" s="6" t="s">
        <v>38</v>
      </c>
      <c r="J6" s="6" t="s">
        <v>144</v>
      </c>
      <c r="K6" s="6" t="s">
        <v>38</v>
      </c>
      <c r="L6" s="24" t="s">
        <v>142</v>
      </c>
    </row>
    <row r="7" spans="1:21" s="55" customFormat="1" ht="8.4499999999999993" customHeight="1" x14ac:dyDescent="0.3">
      <c r="C7" s="54"/>
      <c r="D7" s="54"/>
      <c r="E7" s="54"/>
      <c r="F7" s="54"/>
      <c r="G7" s="56"/>
      <c r="H7" s="54"/>
      <c r="I7" s="54"/>
      <c r="J7" s="54"/>
      <c r="K7" s="54"/>
      <c r="L7" s="56"/>
      <c r="M7" s="54"/>
      <c r="N7" s="54"/>
      <c r="O7" s="54"/>
      <c r="P7" s="54"/>
      <c r="Q7" s="54"/>
    </row>
    <row r="8" spans="1:21" s="18" customFormat="1" ht="21.05" customHeight="1" x14ac:dyDescent="0.3">
      <c r="B8" s="14" t="s" vm="165">
        <v>232</v>
      </c>
      <c r="C8" s="190" vm="1822">
        <v>1445192.04</v>
      </c>
      <c r="D8" s="181">
        <v>12.77</v>
      </c>
      <c r="E8" s="190" vm="1342">
        <v>2030100.31</v>
      </c>
      <c r="F8" s="181">
        <v>19.079999999999998</v>
      </c>
      <c r="G8" s="313">
        <v>40.472702160745371</v>
      </c>
      <c r="H8" s="213" vm="733">
        <v>249</v>
      </c>
      <c r="I8" s="181">
        <v>9.17</v>
      </c>
      <c r="J8" s="189" vm="1546">
        <v>219</v>
      </c>
      <c r="K8" s="181">
        <v>8.77</v>
      </c>
      <c r="L8" s="181">
        <v>-12.048192771084345</v>
      </c>
    </row>
    <row r="9" spans="1:21" s="18" customFormat="1" ht="21.05" customHeight="1" x14ac:dyDescent="0.3">
      <c r="B9" s="14" t="s" vm="142">
        <v>233</v>
      </c>
      <c r="C9" s="190" vm="1864">
        <v>82300.84</v>
      </c>
      <c r="D9" s="181">
        <v>0.73</v>
      </c>
      <c r="E9" s="190" vm="1635">
        <v>112385.18</v>
      </c>
      <c r="F9" s="181">
        <v>1.06</v>
      </c>
      <c r="G9" s="313">
        <v>36.554110504825957</v>
      </c>
      <c r="H9" s="213" vm="1357">
        <v>163</v>
      </c>
      <c r="I9" s="181">
        <v>6.01</v>
      </c>
      <c r="J9" s="189" vm="1728">
        <v>156</v>
      </c>
      <c r="K9" s="181">
        <v>6.24</v>
      </c>
      <c r="L9" s="181">
        <v>-4.2944785276073532</v>
      </c>
    </row>
    <row r="10" spans="1:21" s="18" customFormat="1" ht="21.05" customHeight="1" x14ac:dyDescent="0.3">
      <c r="B10" s="14" t="s" vm="119">
        <v>234</v>
      </c>
      <c r="C10" s="190" vm="1286">
        <v>2822186.6099999994</v>
      </c>
      <c r="D10" s="181">
        <v>24.94</v>
      </c>
      <c r="E10" s="190" vm="923">
        <v>2757465.8999999994</v>
      </c>
      <c r="F10" s="181">
        <v>25.92</v>
      </c>
      <c r="G10" s="313">
        <v>-2.2932824417305255</v>
      </c>
      <c r="H10" s="213" vm="773">
        <v>1636</v>
      </c>
      <c r="I10" s="181">
        <v>60.28</v>
      </c>
      <c r="J10" s="189" vm="1543">
        <v>1218</v>
      </c>
      <c r="K10" s="181">
        <v>48.74</v>
      </c>
      <c r="L10" s="181">
        <v>-25.55012224938875</v>
      </c>
    </row>
    <row r="11" spans="1:21" s="18" customFormat="1" ht="21.05" customHeight="1" x14ac:dyDescent="0.3">
      <c r="B11" s="14" t="s" vm="95">
        <v>235</v>
      </c>
      <c r="C11" s="190" vm="867">
        <v>0</v>
      </c>
      <c r="D11" s="181">
        <v>0</v>
      </c>
      <c r="E11" s="190" vm="1528">
        <v>0</v>
      </c>
      <c r="F11" s="181">
        <v>0</v>
      </c>
      <c r="G11" s="313" t="s">
        <v>145</v>
      </c>
      <c r="H11" s="213" vm="714">
        <v>0</v>
      </c>
      <c r="I11" s="181">
        <v>0</v>
      </c>
      <c r="J11" s="189" vm="811">
        <v>0</v>
      </c>
      <c r="K11" s="181">
        <v>0</v>
      </c>
      <c r="L11" s="181" t="s">
        <v>145</v>
      </c>
    </row>
    <row r="12" spans="1:21" s="55" customFormat="1" ht="21.05" customHeight="1" thickBot="1" x14ac:dyDescent="0.35">
      <c r="B12" s="14" t="s" vm="164">
        <v>236</v>
      </c>
      <c r="C12" s="190" vm="1651">
        <v>6966394.1699999999</v>
      </c>
      <c r="D12" s="181">
        <v>61.56</v>
      </c>
      <c r="E12" s="190" vm="1207">
        <v>5738377.3800000008</v>
      </c>
      <c r="F12" s="181">
        <v>53.94</v>
      </c>
      <c r="G12" s="313">
        <v>-17.627724760225547</v>
      </c>
      <c r="H12" s="213" vm="1632">
        <v>666</v>
      </c>
      <c r="I12" s="181">
        <v>24.54</v>
      </c>
      <c r="J12" s="189" vm="1500">
        <v>906</v>
      </c>
      <c r="K12" s="181">
        <v>36.25</v>
      </c>
      <c r="L12" s="181">
        <v>36.036036036036052</v>
      </c>
      <c r="M12" s="70"/>
      <c r="N12" s="70"/>
      <c r="O12" s="70"/>
      <c r="P12" s="70"/>
      <c r="Q12" s="54"/>
      <c r="R12" s="54"/>
      <c r="S12" s="54"/>
      <c r="T12" s="54"/>
      <c r="U12" s="54"/>
    </row>
    <row r="13" spans="1:21" ht="21.05" customHeight="1" thickBot="1" x14ac:dyDescent="0.35">
      <c r="B13" s="110" t="s" vm="35">
        <v>237</v>
      </c>
      <c r="C13" s="192" vm="986">
        <v>11316073.659999998</v>
      </c>
      <c r="D13" s="202">
        <v>100</v>
      </c>
      <c r="E13" s="192" vm="1834">
        <v>10638328.770000001</v>
      </c>
      <c r="F13" s="202">
        <v>100</v>
      </c>
      <c r="G13" s="314">
        <v>-5.9892230323286668</v>
      </c>
      <c r="H13" s="192" vm="1787">
        <v>2714</v>
      </c>
      <c r="I13" s="202">
        <v>100</v>
      </c>
      <c r="J13" s="191" vm="1669">
        <v>2499</v>
      </c>
      <c r="K13" s="202">
        <v>100</v>
      </c>
      <c r="L13" s="314">
        <v>-7.9218865143699304</v>
      </c>
    </row>
    <row r="14" spans="1:21" s="18" customFormat="1" ht="26.6" x14ac:dyDescent="0.3">
      <c r="B14" s="14" t="s" vm="118">
        <v>238</v>
      </c>
      <c r="C14" s="190" vm="1200">
        <v>95499163.299999982</v>
      </c>
      <c r="D14" s="181">
        <v>58.16</v>
      </c>
      <c r="E14" s="190" vm="1554">
        <v>95187730.769999981</v>
      </c>
      <c r="F14" s="181">
        <v>56.1</v>
      </c>
      <c r="G14" s="313">
        <v>-0.32611021839183252</v>
      </c>
      <c r="H14" s="213" vm="1511">
        <v>82923</v>
      </c>
      <c r="I14" s="181">
        <v>88.2</v>
      </c>
      <c r="J14" s="189" vm="1290">
        <v>78365</v>
      </c>
      <c r="K14" s="181">
        <v>87.01</v>
      </c>
      <c r="L14" s="181">
        <v>-5.4966655813224321</v>
      </c>
    </row>
    <row r="15" spans="1:21" s="18" customFormat="1" ht="26.6" x14ac:dyDescent="0.3">
      <c r="B15" s="14" t="s" vm="94">
        <v>239</v>
      </c>
      <c r="C15" s="190" vm="1085">
        <v>42942521.200000003</v>
      </c>
      <c r="D15" s="181">
        <v>26.16</v>
      </c>
      <c r="E15" s="190" vm="723">
        <v>47840874.549999997</v>
      </c>
      <c r="F15" s="181">
        <v>28.19</v>
      </c>
      <c r="G15" s="313">
        <v>11.406767029784916</v>
      </c>
      <c r="H15" s="213" vm="775">
        <v>3631</v>
      </c>
      <c r="I15" s="181">
        <v>3.86</v>
      </c>
      <c r="J15" s="189" vm="1501">
        <v>3723</v>
      </c>
      <c r="K15" s="181">
        <v>4.13</v>
      </c>
      <c r="L15" s="181">
        <v>2.5337372624621253</v>
      </c>
    </row>
    <row r="16" spans="1:21" ht="27.15" thickBot="1" x14ac:dyDescent="0.35">
      <c r="B16" s="14" t="s" vm="163">
        <v>240</v>
      </c>
      <c r="C16" s="190" vm="809">
        <v>25742957.34</v>
      </c>
      <c r="D16" s="181">
        <v>15.68</v>
      </c>
      <c r="E16" s="190" vm="1129">
        <v>26662289.810000002</v>
      </c>
      <c r="F16" s="181">
        <v>15.71</v>
      </c>
      <c r="G16" s="313">
        <v>3.5711999124961551</v>
      </c>
      <c r="H16" s="213" vm="1020">
        <v>7463</v>
      </c>
      <c r="I16" s="181">
        <v>7.94</v>
      </c>
      <c r="J16" s="189" vm="1231">
        <v>7983</v>
      </c>
      <c r="K16" s="181">
        <v>8.86</v>
      </c>
      <c r="L16" s="181">
        <v>6.9677073562910437</v>
      </c>
    </row>
    <row r="17" spans="2:21" ht="14.95" thickBot="1" x14ac:dyDescent="0.35">
      <c r="B17" s="110" t="s" vm="50">
        <v>241</v>
      </c>
      <c r="C17" s="192" vm="1921">
        <v>164184641.84000003</v>
      </c>
      <c r="D17" s="202">
        <v>100</v>
      </c>
      <c r="E17" s="192" vm="1731">
        <v>169690895.12999997</v>
      </c>
      <c r="F17" s="202">
        <v>100</v>
      </c>
      <c r="G17" s="314">
        <v>3.3536957100809985</v>
      </c>
      <c r="H17" s="192" vm="1131">
        <v>94017</v>
      </c>
      <c r="I17" s="202">
        <v>100</v>
      </c>
      <c r="J17" s="191" vm="1473">
        <v>90071</v>
      </c>
      <c r="K17" s="202">
        <v>100</v>
      </c>
      <c r="L17" s="314">
        <v>-4.1971132880223792</v>
      </c>
    </row>
    <row r="18" spans="2:21" ht="21.05" customHeight="1" x14ac:dyDescent="0.3">
      <c r="B18" s="14" t="s" vm="117">
        <v>242</v>
      </c>
      <c r="C18" s="190" vm="1148">
        <v>48901151.190000005</v>
      </c>
      <c r="D18" s="181">
        <v>34.71</v>
      </c>
      <c r="E18" s="190" vm="1658">
        <v>54128309.979999997</v>
      </c>
      <c r="F18" s="181">
        <v>36.369999999999997</v>
      </c>
      <c r="G18" s="313">
        <v>10.689234635173392</v>
      </c>
      <c r="H18" s="213" vm="913">
        <v>9947</v>
      </c>
      <c r="I18" s="181">
        <v>9.8699999999999992</v>
      </c>
      <c r="J18" s="189" vm="1319">
        <v>10122</v>
      </c>
      <c r="K18" s="181">
        <v>9.17</v>
      </c>
      <c r="L18" s="181">
        <v>1.7593244194229527</v>
      </c>
    </row>
    <row r="19" spans="2:21" ht="21.05" customHeight="1" x14ac:dyDescent="0.3">
      <c r="B19" s="14" t="s" vm="93">
        <v>243</v>
      </c>
      <c r="C19" s="190" vm="1330">
        <v>11838439.100000001</v>
      </c>
      <c r="D19" s="181">
        <v>8.41</v>
      </c>
      <c r="E19" s="190" vm="1573">
        <v>10817400.16</v>
      </c>
      <c r="F19" s="181">
        <v>7.27</v>
      </c>
      <c r="G19" s="313">
        <v>-8.624776724154458</v>
      </c>
      <c r="H19" s="213" vm="1404">
        <v>9453</v>
      </c>
      <c r="I19" s="181">
        <v>9.3800000000000008</v>
      </c>
      <c r="J19" s="189" vm="1814">
        <v>9783</v>
      </c>
      <c r="K19" s="181">
        <v>8.8699999999999992</v>
      </c>
      <c r="L19" s="181">
        <v>3.49095525230085</v>
      </c>
    </row>
    <row r="20" spans="2:21" ht="21.05" customHeight="1" x14ac:dyDescent="0.3">
      <c r="B20" s="14" t="s" vm="162">
        <v>244</v>
      </c>
      <c r="C20" s="190" vm="1480">
        <v>4973426.66</v>
      </c>
      <c r="D20" s="181">
        <v>3.53</v>
      </c>
      <c r="E20" s="190" vm="1915">
        <v>5587281.1899999995</v>
      </c>
      <c r="F20" s="181">
        <v>3.76</v>
      </c>
      <c r="G20" s="313">
        <v>12.34268788835422</v>
      </c>
      <c r="H20" s="213" vm="1446">
        <v>8293</v>
      </c>
      <c r="I20" s="181">
        <v>8.23</v>
      </c>
      <c r="J20" s="189" vm="1496">
        <v>8622</v>
      </c>
      <c r="K20" s="181">
        <v>7.81</v>
      </c>
      <c r="L20" s="181">
        <v>3.9672012540697068</v>
      </c>
    </row>
    <row r="21" spans="2:21" s="18" customFormat="1" ht="21.05" customHeight="1" x14ac:dyDescent="0.3">
      <c r="B21" s="14" t="s" vm="141">
        <v>245</v>
      </c>
      <c r="C21" s="190" vm="1741">
        <v>12837568.810000001</v>
      </c>
      <c r="D21" s="181">
        <v>9.11</v>
      </c>
      <c r="E21" s="190" vm="928">
        <v>13480596.969999999</v>
      </c>
      <c r="F21" s="181">
        <v>9.06</v>
      </c>
      <c r="G21" s="313">
        <v>5.0089558974679278</v>
      </c>
      <c r="H21" s="213" vm="1657">
        <v>55871</v>
      </c>
      <c r="I21" s="181">
        <v>55.44</v>
      </c>
      <c r="J21" s="189" vm="1344">
        <v>59854</v>
      </c>
      <c r="K21" s="181">
        <v>54.25</v>
      </c>
      <c r="L21" s="181">
        <v>7.1289219809919331</v>
      </c>
    </row>
    <row r="22" spans="2:21" s="18" customFormat="1" ht="21.05" customHeight="1" x14ac:dyDescent="0.3">
      <c r="B22" s="14" t="s" vm="116">
        <v>246</v>
      </c>
      <c r="C22" s="190" vm="888">
        <v>4924355.71</v>
      </c>
      <c r="D22" s="181">
        <v>3.49</v>
      </c>
      <c r="E22" s="190" vm="1700">
        <v>5583183.1699999999</v>
      </c>
      <c r="F22" s="181">
        <v>3.75</v>
      </c>
      <c r="G22" s="313">
        <v>13.378957548946019</v>
      </c>
      <c r="H22" s="213" vm="1670">
        <v>398</v>
      </c>
      <c r="I22" s="181">
        <v>0.39</v>
      </c>
      <c r="J22" s="189" vm="1840">
        <v>452</v>
      </c>
      <c r="K22" s="181">
        <v>0.41</v>
      </c>
      <c r="L22" s="181">
        <v>13.5678391959799</v>
      </c>
    </row>
    <row r="23" spans="2:21" s="18" customFormat="1" ht="21.05" customHeight="1" x14ac:dyDescent="0.3">
      <c r="B23" s="14" t="s" vm="92">
        <v>247</v>
      </c>
      <c r="C23" s="190" vm="711">
        <v>841522.29</v>
      </c>
      <c r="D23" s="181">
        <v>0.6</v>
      </c>
      <c r="E23" s="190" vm="1526">
        <v>1497002.87</v>
      </c>
      <c r="F23" s="181">
        <v>1.01</v>
      </c>
      <c r="G23" s="313">
        <v>77.892242165088703</v>
      </c>
      <c r="H23" s="213" vm="812">
        <v>118</v>
      </c>
      <c r="I23" s="181">
        <v>0.12</v>
      </c>
      <c r="J23" s="189" vm="1141">
        <v>111</v>
      </c>
      <c r="K23" s="181">
        <v>0.1</v>
      </c>
      <c r="L23" s="181">
        <v>-5.9322033898305051</v>
      </c>
    </row>
    <row r="24" spans="2:21" s="18" customFormat="1" ht="21.05" customHeight="1" x14ac:dyDescent="0.3">
      <c r="B24" s="14" t="s" vm="161">
        <v>248</v>
      </c>
      <c r="C24" s="190" vm="1420">
        <v>3322.04</v>
      </c>
      <c r="D24" s="181">
        <v>0</v>
      </c>
      <c r="E24" s="190" vm="1137">
        <v>136193.44999999998</v>
      </c>
      <c r="F24" s="181">
        <v>0.09</v>
      </c>
      <c r="G24" s="313">
        <v>3999.6932607674798</v>
      </c>
      <c r="H24" s="213" vm="1590">
        <v>3</v>
      </c>
      <c r="I24" s="181">
        <v>0</v>
      </c>
      <c r="J24" s="189" vm="1285">
        <v>8</v>
      </c>
      <c r="K24" s="181">
        <v>0.01</v>
      </c>
      <c r="L24" s="181">
        <v>166.66666666666663</v>
      </c>
    </row>
    <row r="25" spans="2:21" s="18" customFormat="1" ht="21.05" customHeight="1" x14ac:dyDescent="0.3">
      <c r="B25" s="14" t="s" vm="140">
        <v>249</v>
      </c>
      <c r="C25" s="190" vm="1815">
        <v>0</v>
      </c>
      <c r="D25" s="181">
        <v>0</v>
      </c>
      <c r="E25" s="190" vm="1416">
        <v>0</v>
      </c>
      <c r="F25" s="181">
        <v>0</v>
      </c>
      <c r="G25" s="313" t="s">
        <v>145</v>
      </c>
      <c r="H25" s="213" vm="1535">
        <v>0</v>
      </c>
      <c r="I25" s="181">
        <v>0</v>
      </c>
      <c r="J25" s="189" vm="1262">
        <v>0</v>
      </c>
      <c r="K25" s="181">
        <v>0</v>
      </c>
      <c r="L25" s="181" t="s">
        <v>145</v>
      </c>
    </row>
    <row r="26" spans="2:21" s="18" customFormat="1" ht="21.05" customHeight="1" x14ac:dyDescent="0.3">
      <c r="B26" s="14" t="s" vm="115">
        <v>250</v>
      </c>
      <c r="C26" s="190" vm="1356">
        <v>1173635.06</v>
      </c>
      <c r="D26" s="181">
        <v>0.83</v>
      </c>
      <c r="E26" s="190" vm="891">
        <v>899554.3</v>
      </c>
      <c r="F26" s="181">
        <v>0.6</v>
      </c>
      <c r="G26" s="313">
        <v>-23.353150339595345</v>
      </c>
      <c r="H26" s="213" vm="715">
        <v>167</v>
      </c>
      <c r="I26" s="181">
        <v>0.17</v>
      </c>
      <c r="J26" s="189" vm="712">
        <v>166</v>
      </c>
      <c r="K26" s="181">
        <v>0.15</v>
      </c>
      <c r="L26" s="181">
        <v>-0.59880239520958867</v>
      </c>
    </row>
    <row r="27" spans="2:21" s="18" customFormat="1" ht="21.05" customHeight="1" x14ac:dyDescent="0.3">
      <c r="B27" s="14" t="s" vm="91">
        <v>251</v>
      </c>
      <c r="C27" s="190" vm="1041">
        <v>311649.49</v>
      </c>
      <c r="D27" s="181">
        <v>0.22</v>
      </c>
      <c r="E27" s="190" vm="700">
        <v>203925.36000000002</v>
      </c>
      <c r="F27" s="181">
        <v>0.14000000000000001</v>
      </c>
      <c r="G27" s="313">
        <v>-34.565796979163991</v>
      </c>
      <c r="H27" s="213" vm="1642">
        <v>35</v>
      </c>
      <c r="I27" s="181">
        <v>0.03</v>
      </c>
      <c r="J27" s="189" vm="1940">
        <v>27</v>
      </c>
      <c r="K27" s="181">
        <v>0.02</v>
      </c>
      <c r="L27" s="181">
        <v>-22.857142857142847</v>
      </c>
    </row>
    <row r="28" spans="2:21" s="18" customFormat="1" ht="21.05" customHeight="1" x14ac:dyDescent="0.3">
      <c r="B28" s="14" t="s" vm="160">
        <v>252</v>
      </c>
      <c r="C28" s="190" vm="1220">
        <v>6296519.1000000006</v>
      </c>
      <c r="D28" s="181">
        <v>4.47</v>
      </c>
      <c r="E28" s="190" vm="1279">
        <v>5370772.3999999985</v>
      </c>
      <c r="F28" s="181">
        <v>3.61</v>
      </c>
      <c r="G28" s="313">
        <v>-14.70251555339523</v>
      </c>
      <c r="H28" s="213" vm="976">
        <v>653</v>
      </c>
      <c r="I28" s="181">
        <v>0.65</v>
      </c>
      <c r="J28" s="189" vm="954">
        <v>580</v>
      </c>
      <c r="K28" s="181">
        <v>0.53</v>
      </c>
      <c r="L28" s="181">
        <v>-11.179173047473199</v>
      </c>
    </row>
    <row r="29" spans="2:21" s="18" customFormat="1" ht="21.05" customHeight="1" x14ac:dyDescent="0.3">
      <c r="B29" s="14" t="s" vm="139">
        <v>253</v>
      </c>
      <c r="C29" s="190" vm="1694">
        <v>29287340.849999998</v>
      </c>
      <c r="D29" s="181">
        <v>20.78</v>
      </c>
      <c r="E29" s="190" vm="771">
        <v>31195501.969999999</v>
      </c>
      <c r="F29" s="181">
        <v>20.97</v>
      </c>
      <c r="G29" s="313">
        <v>6.5153102487964532</v>
      </c>
      <c r="H29" s="213" vm="1567">
        <v>442</v>
      </c>
      <c r="I29" s="181">
        <v>0.44</v>
      </c>
      <c r="J29" s="189" vm="1369">
        <v>317</v>
      </c>
      <c r="K29" s="181">
        <v>0.28999999999999998</v>
      </c>
      <c r="L29" s="181">
        <v>-28.280542986425345</v>
      </c>
    </row>
    <row r="30" spans="2:21" s="18" customFormat="1" ht="21.05" customHeight="1" thickBot="1" x14ac:dyDescent="0.35">
      <c r="B30" s="14" t="s" vm="114">
        <v>254</v>
      </c>
      <c r="C30" s="190" vm="1133">
        <v>19520656.469999999</v>
      </c>
      <c r="D30" s="181">
        <v>13.85</v>
      </c>
      <c r="E30" s="190" vm="1457">
        <v>19894794.279999997</v>
      </c>
      <c r="F30" s="181">
        <v>13.37</v>
      </c>
      <c r="G30" s="313">
        <v>1.9166251430887513</v>
      </c>
      <c r="H30" s="213" vm="1611">
        <v>15396</v>
      </c>
      <c r="I30" s="181">
        <v>15.28</v>
      </c>
      <c r="J30" s="189" vm="1318">
        <v>20289</v>
      </c>
      <c r="K30" s="181">
        <v>18.39</v>
      </c>
      <c r="L30" s="181">
        <v>31.78098207326579</v>
      </c>
    </row>
    <row r="31" spans="2:21" ht="21.05" customHeight="1" thickBot="1" x14ac:dyDescent="0.35">
      <c r="B31" s="110" t="s" vm="47">
        <v>255</v>
      </c>
      <c r="C31" s="192" vm="1674">
        <v>140909586.76999998</v>
      </c>
      <c r="D31" s="202">
        <v>100</v>
      </c>
      <c r="E31" s="192" vm="1751">
        <v>148794516.10000002</v>
      </c>
      <c r="F31" s="202">
        <v>100.00000000000001</v>
      </c>
      <c r="G31" s="314">
        <v>5.5957366072403829</v>
      </c>
      <c r="H31" s="192" vm="1251">
        <v>100776</v>
      </c>
      <c r="I31" s="202">
        <v>100.00000000000001</v>
      </c>
      <c r="J31" s="191" vm="1254">
        <v>110331</v>
      </c>
      <c r="K31" s="202">
        <v>100</v>
      </c>
      <c r="L31" s="314">
        <v>9.4814241486068198</v>
      </c>
    </row>
    <row r="32" spans="2:21" s="55" customFormat="1" ht="3.75" customHeight="1" x14ac:dyDescent="0.3">
      <c r="B32" s="69"/>
      <c r="C32" s="15" t="s">
        <v>196</v>
      </c>
      <c r="D32" s="70"/>
      <c r="E32" s="70"/>
      <c r="F32" s="70"/>
      <c r="G32" s="23"/>
      <c r="H32" s="70"/>
      <c r="I32" s="70"/>
      <c r="J32" s="17" t="s">
        <v>196</v>
      </c>
      <c r="K32" s="70"/>
      <c r="L32" s="23"/>
      <c r="M32" s="70"/>
      <c r="N32" s="70"/>
      <c r="O32" s="70"/>
      <c r="P32" s="70"/>
      <c r="Q32" s="54"/>
      <c r="R32" s="54"/>
      <c r="S32" s="54"/>
      <c r="T32" s="54"/>
      <c r="U32" s="54"/>
    </row>
    <row r="33" spans="2:16" ht="23.3" customHeight="1" x14ac:dyDescent="0.3">
      <c r="B33" s="241" t="s">
        <v>63</v>
      </c>
      <c r="C33" s="275">
        <v>316410302.26999998</v>
      </c>
      <c r="D33" s="312"/>
      <c r="E33" s="275">
        <v>329123740</v>
      </c>
      <c r="F33" s="312"/>
      <c r="G33" s="301">
        <v>4.0180226872484752</v>
      </c>
      <c r="H33" s="277">
        <v>197507</v>
      </c>
      <c r="I33" s="312"/>
      <c r="J33" s="277">
        <v>202901</v>
      </c>
      <c r="K33" s="312"/>
      <c r="L33" s="301">
        <v>2.731042444065281</v>
      </c>
    </row>
    <row r="34" spans="2:16" x14ac:dyDescent="0.3">
      <c r="B34" s="75"/>
      <c r="C34" s="75"/>
      <c r="D34" s="75"/>
      <c r="E34" s="75"/>
      <c r="F34" s="75"/>
      <c r="G34" s="81"/>
      <c r="H34" s="75"/>
      <c r="I34" s="75"/>
      <c r="J34" s="75"/>
      <c r="K34" s="75"/>
      <c r="L34" s="81"/>
      <c r="M34" s="18"/>
      <c r="N34" s="18"/>
      <c r="O34" s="18"/>
      <c r="P34" s="18"/>
    </row>
    <row r="35" spans="2:16" x14ac:dyDescent="0.3">
      <c r="B35" s="75"/>
      <c r="C35" s="75"/>
      <c r="D35" s="75"/>
      <c r="E35" s="75"/>
      <c r="F35" s="75"/>
      <c r="G35" s="81"/>
      <c r="H35" s="75"/>
      <c r="I35" s="75"/>
      <c r="J35" s="75"/>
      <c r="K35" s="75"/>
      <c r="L35" s="81"/>
      <c r="M35" s="18"/>
      <c r="N35" s="18"/>
      <c r="O35" s="18"/>
      <c r="P35" s="18"/>
    </row>
  </sheetData>
  <mergeCells count="4">
    <mergeCell ref="B5:B6"/>
    <mergeCell ref="C5:G5"/>
    <mergeCell ref="H5:L5"/>
    <mergeCell ref="B1:L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0" orientation="landscape" r:id="rId1"/>
  <customProperties>
    <customPr name="Version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6" tint="0.39997558519241921"/>
    <pageSetUpPr fitToPage="1"/>
  </sheetPr>
  <dimension ref="A1:Q35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65.59765625" style="8" customWidth="1"/>
    <col min="3" max="4" width="16.69921875" style="8" bestFit="1" customWidth="1"/>
    <col min="5" max="5" width="11.59765625" style="61" bestFit="1" customWidth="1"/>
    <col min="6" max="7" width="13.59765625" style="8" bestFit="1" customWidth="1"/>
    <col min="8" max="8" width="11.59765625" style="61" customWidth="1"/>
    <col min="9" max="16384" width="9.296875" style="8"/>
  </cols>
  <sheetData>
    <row r="1" spans="1:17" s="18" customFormat="1" ht="58.85" customHeight="1" x14ac:dyDescent="0.3">
      <c r="A1" s="18" t="s">
        <v>141</v>
      </c>
      <c r="B1" s="373" t="s">
        <v>231</v>
      </c>
      <c r="C1" s="373"/>
      <c r="D1" s="373"/>
      <c r="E1" s="373"/>
      <c r="F1" s="373"/>
      <c r="G1" s="373"/>
      <c r="H1" s="373"/>
    </row>
    <row r="2" spans="1:17" s="18" customFormat="1" ht="13.85" x14ac:dyDescent="0.3">
      <c r="A2" s="112"/>
      <c r="B2" s="87"/>
      <c r="C2" s="87"/>
      <c r="D2" s="87"/>
      <c r="E2" s="87"/>
      <c r="F2" s="87"/>
      <c r="G2" s="87"/>
      <c r="H2" s="87"/>
    </row>
    <row r="3" spans="1:17" ht="21.75" customHeight="1" x14ac:dyDescent="0.3"/>
    <row r="4" spans="1:17" ht="7.5" customHeight="1" thickBot="1" x14ac:dyDescent="0.35"/>
    <row r="5" spans="1:17" s="53" customFormat="1" ht="14.95" customHeight="1" x14ac:dyDescent="0.3">
      <c r="B5" s="369" t="s">
        <v>44</v>
      </c>
      <c r="C5" s="367" t="s">
        <v>65</v>
      </c>
      <c r="D5" s="367"/>
      <c r="E5" s="367"/>
      <c r="F5" s="367" t="s">
        <v>42</v>
      </c>
      <c r="G5" s="367"/>
      <c r="H5" s="368"/>
    </row>
    <row r="6" spans="1:17" s="54" customFormat="1" ht="23.85" thickBot="1" x14ac:dyDescent="0.35">
      <c r="B6" s="370"/>
      <c r="C6" s="6" t="s">
        <v>143</v>
      </c>
      <c r="D6" s="6" t="s">
        <v>144</v>
      </c>
      <c r="E6" s="22" t="s">
        <v>142</v>
      </c>
      <c r="F6" s="6" t="s">
        <v>143</v>
      </c>
      <c r="G6" s="6" t="s">
        <v>144</v>
      </c>
      <c r="H6" s="24" t="s">
        <v>142</v>
      </c>
    </row>
    <row r="7" spans="1:17" s="55" customFormat="1" ht="8.4499999999999993" customHeight="1" x14ac:dyDescent="0.3">
      <c r="C7" s="54"/>
      <c r="D7" s="54"/>
      <c r="E7" s="56"/>
      <c r="F7" s="54"/>
      <c r="G7" s="54"/>
      <c r="H7" s="56"/>
      <c r="I7" s="54"/>
      <c r="J7" s="54"/>
      <c r="K7" s="54"/>
      <c r="L7" s="54"/>
      <c r="M7" s="54"/>
    </row>
    <row r="8" spans="1:17" s="18" customFormat="1" ht="21.05" customHeight="1" x14ac:dyDescent="0.3">
      <c r="B8" s="14" t="s" vm="165">
        <v>232</v>
      </c>
      <c r="C8" s="189" vm="1645">
        <v>10908.199999999999</v>
      </c>
      <c r="D8" s="190" vm="1347">
        <v>886099.2899999998</v>
      </c>
      <c r="E8" s="313">
        <v>8023.2402229515401</v>
      </c>
      <c r="F8" s="213" vm="1811">
        <v>4</v>
      </c>
      <c r="G8" s="189" vm="1317">
        <v>15</v>
      </c>
      <c r="H8" s="181">
        <v>275</v>
      </c>
    </row>
    <row r="9" spans="1:17" s="18" customFormat="1" ht="21.05" customHeight="1" x14ac:dyDescent="0.3">
      <c r="B9" s="14" t="s" vm="142">
        <v>233</v>
      </c>
      <c r="C9" s="189" vm="1829">
        <v>20000</v>
      </c>
      <c r="D9" s="190" vm="1922">
        <v>9339.48</v>
      </c>
      <c r="E9" s="313">
        <v>-53.302599999999998</v>
      </c>
      <c r="F9" s="213" vm="1583">
        <v>1</v>
      </c>
      <c r="G9" s="189" vm="1331">
        <v>2</v>
      </c>
      <c r="H9" s="181">
        <v>100</v>
      </c>
    </row>
    <row r="10" spans="1:17" s="18" customFormat="1" ht="21.05" customHeight="1" x14ac:dyDescent="0.3">
      <c r="B10" s="14" t="s" vm="119">
        <v>234</v>
      </c>
      <c r="C10" s="189" vm="1524">
        <v>1121159.42</v>
      </c>
      <c r="D10" s="190" vm="1109">
        <v>266357.17</v>
      </c>
      <c r="E10" s="313">
        <v>-76.24270329013514</v>
      </c>
      <c r="F10" s="213" vm="1106">
        <v>167</v>
      </c>
      <c r="G10" s="189" vm="1911">
        <v>82</v>
      </c>
      <c r="H10" s="181">
        <v>-50.898203592814376</v>
      </c>
    </row>
    <row r="11" spans="1:17" s="18" customFormat="1" ht="21.05" customHeight="1" x14ac:dyDescent="0.3">
      <c r="B11" s="14" t="s" vm="95">
        <v>235</v>
      </c>
      <c r="C11" s="189" vm="1377">
        <v>0</v>
      </c>
      <c r="D11" s="190" vm="1691">
        <v>0</v>
      </c>
      <c r="E11" s="313" t="s">
        <v>145</v>
      </c>
      <c r="F11" s="213" vm="865">
        <v>0</v>
      </c>
      <c r="G11" s="189" vm="1778">
        <v>0</v>
      </c>
      <c r="H11" s="181" t="s">
        <v>145</v>
      </c>
    </row>
    <row r="12" spans="1:17" s="55" customFormat="1" ht="21.05" customHeight="1" thickBot="1" x14ac:dyDescent="0.35">
      <c r="B12" s="14" t="s" vm="164">
        <v>236</v>
      </c>
      <c r="C12" s="189" vm="1714">
        <v>1375025.79</v>
      </c>
      <c r="D12" s="190" vm="1767">
        <v>745597.03999999992</v>
      </c>
      <c r="E12" s="313">
        <v>-45.775777776502657</v>
      </c>
      <c r="F12" s="213" vm="1419">
        <v>613</v>
      </c>
      <c r="G12" s="189" vm="1587">
        <v>418</v>
      </c>
      <c r="H12" s="181">
        <v>-31.810766721044047</v>
      </c>
      <c r="I12" s="70"/>
      <c r="J12" s="70"/>
      <c r="K12" s="70"/>
      <c r="L12" s="70"/>
      <c r="M12" s="54"/>
      <c r="N12" s="54"/>
      <c r="O12" s="54"/>
      <c r="P12" s="54"/>
      <c r="Q12" s="54"/>
    </row>
    <row r="13" spans="1:17" ht="21.05" customHeight="1" thickBot="1" x14ac:dyDescent="0.35">
      <c r="B13" s="110" t="s" vm="35">
        <v>237</v>
      </c>
      <c r="C13" s="191" vm="933">
        <v>2527093.4099999997</v>
      </c>
      <c r="D13" s="192" vm="1638">
        <v>1907392.98</v>
      </c>
      <c r="E13" s="314">
        <v>-24.522260536463506</v>
      </c>
      <c r="F13" s="192" vm="1813">
        <v>785</v>
      </c>
      <c r="G13" s="191" vm="968">
        <v>517</v>
      </c>
      <c r="H13" s="314">
        <v>-34.140127388535035</v>
      </c>
    </row>
    <row r="14" spans="1:17" s="18" customFormat="1" ht="26.6" x14ac:dyDescent="0.3">
      <c r="B14" s="14" t="s" vm="118">
        <v>238</v>
      </c>
      <c r="C14" s="189" vm="1703">
        <v>29372770.289999999</v>
      </c>
      <c r="D14" s="190" vm="1821">
        <v>18923850.140000001</v>
      </c>
      <c r="E14" s="313">
        <v>-35.573492206682829</v>
      </c>
      <c r="F14" s="213" vm="1897">
        <v>4556</v>
      </c>
      <c r="G14" s="189" vm="1275">
        <v>3617</v>
      </c>
      <c r="H14" s="181">
        <v>-20.61018437225637</v>
      </c>
    </row>
    <row r="15" spans="1:17" s="18" customFormat="1" ht="21.05" customHeight="1" x14ac:dyDescent="0.3">
      <c r="B15" s="14" t="s" vm="94">
        <v>239</v>
      </c>
      <c r="C15" s="189" vm="997">
        <v>7527143.3099999996</v>
      </c>
      <c r="D15" s="190" vm="1186">
        <v>11926736.440000003</v>
      </c>
      <c r="E15" s="313">
        <v>58.449705934986412</v>
      </c>
      <c r="F15" s="213" vm="875">
        <v>365</v>
      </c>
      <c r="G15" s="189" vm="1386">
        <v>280</v>
      </c>
      <c r="H15" s="181">
        <v>-23.287671232876718</v>
      </c>
    </row>
    <row r="16" spans="1:17" ht="21.05" customHeight="1" thickBot="1" x14ac:dyDescent="0.35">
      <c r="B16" s="14" t="s" vm="163">
        <v>240</v>
      </c>
      <c r="C16" s="189" vm="1749">
        <v>1315887.25</v>
      </c>
      <c r="D16" s="190" vm="1487">
        <v>2674000.79</v>
      </c>
      <c r="E16" s="313">
        <v>103.20895958221342</v>
      </c>
      <c r="F16" s="213" vm="1924">
        <v>313</v>
      </c>
      <c r="G16" s="189" vm="1870">
        <v>206</v>
      </c>
      <c r="H16" s="181">
        <v>-34.185303514376997</v>
      </c>
    </row>
    <row r="17" spans="2:17" ht="21.05" customHeight="1" thickBot="1" x14ac:dyDescent="0.35">
      <c r="B17" s="110" t="s" vm="50">
        <v>241</v>
      </c>
      <c r="C17" s="191" vm="1355">
        <v>38215800.850000009</v>
      </c>
      <c r="D17" s="192" vm="1190">
        <v>33524587.369999997</v>
      </c>
      <c r="E17" s="314">
        <v>-12.27558595046429</v>
      </c>
      <c r="F17" s="192" vm="1513">
        <v>5234</v>
      </c>
      <c r="G17" s="191" vm="985">
        <v>4103</v>
      </c>
      <c r="H17" s="314">
        <v>-21.608712265953372</v>
      </c>
    </row>
    <row r="18" spans="2:17" ht="21.05" customHeight="1" x14ac:dyDescent="0.3">
      <c r="B18" s="14" t="s" vm="117">
        <v>242</v>
      </c>
      <c r="C18" s="189" vm="1219">
        <v>18868594.48</v>
      </c>
      <c r="D18" s="190" vm="1111">
        <v>17391619.199999999</v>
      </c>
      <c r="E18" s="313">
        <v>-7.8276910427299669</v>
      </c>
      <c r="F18" s="213" vm="1110">
        <v>4203</v>
      </c>
      <c r="G18" s="189" vm="1555">
        <v>3808</v>
      </c>
      <c r="H18" s="181">
        <v>-9.3980490126100449</v>
      </c>
    </row>
    <row r="19" spans="2:17" ht="21.05" customHeight="1" x14ac:dyDescent="0.3">
      <c r="B19" s="14" t="s" vm="93">
        <v>243</v>
      </c>
      <c r="C19" s="189" vm="1881">
        <v>5661764.9800000004</v>
      </c>
      <c r="D19" s="190" vm="1869">
        <v>4015356.6999999997</v>
      </c>
      <c r="E19" s="313">
        <v>-29.079417563531578</v>
      </c>
      <c r="F19" s="213" vm="1610">
        <v>642</v>
      </c>
      <c r="G19" s="189" vm="1456">
        <v>471</v>
      </c>
      <c r="H19" s="181">
        <v>-26.63551401869158</v>
      </c>
    </row>
    <row r="20" spans="2:17" ht="21.05" customHeight="1" x14ac:dyDescent="0.3">
      <c r="B20" s="14" t="s" vm="162">
        <v>244</v>
      </c>
      <c r="C20" s="189" vm="1223">
        <v>1445749.49</v>
      </c>
      <c r="D20" s="190" vm="1781">
        <v>967764.33</v>
      </c>
      <c r="E20" s="313">
        <v>-33.06140955304781</v>
      </c>
      <c r="F20" s="213" vm="1442">
        <v>786</v>
      </c>
      <c r="G20" s="189" vm="1387">
        <v>616</v>
      </c>
      <c r="H20" s="181">
        <v>-21.628498727735362</v>
      </c>
    </row>
    <row r="21" spans="2:17" s="18" customFormat="1" ht="21.05" customHeight="1" x14ac:dyDescent="0.3">
      <c r="B21" s="14" t="s" vm="141">
        <v>245</v>
      </c>
      <c r="C21" s="189" vm="1191">
        <v>3881433.5599999996</v>
      </c>
      <c r="D21" s="190" vm="1527">
        <v>4292014.5999999996</v>
      </c>
      <c r="E21" s="313">
        <v>10.578077240100953</v>
      </c>
      <c r="F21" s="213" vm="1274">
        <v>1682</v>
      </c>
      <c r="G21" s="189" vm="1045">
        <v>1640</v>
      </c>
      <c r="H21" s="181">
        <v>-2.4970273483947665</v>
      </c>
    </row>
    <row r="22" spans="2:17" s="18" customFormat="1" ht="21.05" customHeight="1" x14ac:dyDescent="0.3">
      <c r="B22" s="14" t="s" vm="116">
        <v>246</v>
      </c>
      <c r="C22" s="189" vm="1239">
        <v>898185.61999999988</v>
      </c>
      <c r="D22" s="190" vm="1035">
        <v>4255977.0199999996</v>
      </c>
      <c r="E22" s="313">
        <v>373.8415896705182</v>
      </c>
      <c r="F22" s="213" vm="1675">
        <v>86</v>
      </c>
      <c r="G22" s="189" vm="1823">
        <v>85</v>
      </c>
      <c r="H22" s="181">
        <v>-1.1627906976744242</v>
      </c>
    </row>
    <row r="23" spans="2:17" s="18" customFormat="1" ht="21.05" customHeight="1" x14ac:dyDescent="0.3">
      <c r="B23" s="14" t="s" vm="92">
        <v>247</v>
      </c>
      <c r="C23" s="189" vm="1744">
        <v>1420600.96</v>
      </c>
      <c r="D23" s="190" vm="861">
        <v>910356.49</v>
      </c>
      <c r="E23" s="313">
        <v>-35.917508460644711</v>
      </c>
      <c r="F23" s="213" vm="704">
        <v>8</v>
      </c>
      <c r="G23" s="189" vm="1027">
        <v>9</v>
      </c>
      <c r="H23" s="181">
        <v>12.5</v>
      </c>
    </row>
    <row r="24" spans="2:17" s="18" customFormat="1" ht="21.05" customHeight="1" x14ac:dyDescent="0.3">
      <c r="B24" s="14" t="s" vm="161">
        <v>248</v>
      </c>
      <c r="C24" s="189" vm="1136">
        <v>27250</v>
      </c>
      <c r="D24" s="190" vm="1193">
        <v>0</v>
      </c>
      <c r="E24" s="313" t="s">
        <v>145</v>
      </c>
      <c r="F24" s="213" vm="769">
        <v>2</v>
      </c>
      <c r="G24" s="189" vm="1321">
        <v>0</v>
      </c>
      <c r="H24" s="181" t="s">
        <v>145</v>
      </c>
    </row>
    <row r="25" spans="2:17" s="18" customFormat="1" ht="21.05" customHeight="1" x14ac:dyDescent="0.3">
      <c r="B25" s="14" t="s" vm="140">
        <v>249</v>
      </c>
      <c r="C25" s="189" vm="1681">
        <v>0</v>
      </c>
      <c r="D25" s="190" vm="1772">
        <v>0</v>
      </c>
      <c r="E25" s="313" t="s">
        <v>145</v>
      </c>
      <c r="F25" s="213" vm="1466">
        <v>0</v>
      </c>
      <c r="G25" s="189" vm="1872">
        <v>0</v>
      </c>
      <c r="H25" s="181" t="s">
        <v>145</v>
      </c>
    </row>
    <row r="26" spans="2:17" s="18" customFormat="1" ht="21.05" customHeight="1" x14ac:dyDescent="0.3">
      <c r="B26" s="14" t="s" vm="115">
        <v>250</v>
      </c>
      <c r="C26" s="189" vm="1157">
        <v>261566.71999999997</v>
      </c>
      <c r="D26" s="190" vm="737">
        <v>167214.79</v>
      </c>
      <c r="E26" s="313">
        <v>-36.071840484905714</v>
      </c>
      <c r="F26" s="213" vm="1183">
        <v>80</v>
      </c>
      <c r="G26" s="189" vm="1305">
        <v>85</v>
      </c>
      <c r="H26" s="181">
        <v>6.25</v>
      </c>
    </row>
    <row r="27" spans="2:17" s="18" customFormat="1" ht="21.05" customHeight="1" x14ac:dyDescent="0.3">
      <c r="B27" s="14" t="s" vm="91">
        <v>251</v>
      </c>
      <c r="C27" s="189" vm="706">
        <v>3750287.62</v>
      </c>
      <c r="D27" s="190" vm="1752">
        <v>317804.64</v>
      </c>
      <c r="E27" s="313">
        <v>-91.525859555273257</v>
      </c>
      <c r="F27" s="213" vm="1181">
        <v>31</v>
      </c>
      <c r="G27" s="189" vm="1525">
        <v>21</v>
      </c>
      <c r="H27" s="181">
        <v>-32.258064516129039</v>
      </c>
    </row>
    <row r="28" spans="2:17" s="18" customFormat="1" ht="21.05" customHeight="1" x14ac:dyDescent="0.3">
      <c r="B28" s="14" t="s" vm="160">
        <v>252</v>
      </c>
      <c r="C28" s="189" vm="1037">
        <v>299243.46000000002</v>
      </c>
      <c r="D28" s="190" vm="1364">
        <v>1162156.1799999997</v>
      </c>
      <c r="E28" s="313">
        <v>288.36477161439035</v>
      </c>
      <c r="F28" s="213" vm="1348">
        <v>18</v>
      </c>
      <c r="G28" s="189" vm="1253">
        <v>43</v>
      </c>
      <c r="H28" s="181">
        <v>138.88888888888889</v>
      </c>
    </row>
    <row r="29" spans="2:17" s="18" customFormat="1" ht="21.05" customHeight="1" x14ac:dyDescent="0.3">
      <c r="B29" s="14" t="s" vm="139">
        <v>253</v>
      </c>
      <c r="C29" s="189" vm="1476">
        <v>20337524.529999997</v>
      </c>
      <c r="D29" s="190" vm="1736">
        <v>10346038.24</v>
      </c>
      <c r="E29" s="313">
        <v>-49.128330614974793</v>
      </c>
      <c r="F29" s="213" vm="1308">
        <v>2861</v>
      </c>
      <c r="G29" s="189" vm="1440">
        <v>1809</v>
      </c>
      <c r="H29" s="181">
        <v>-36.770360013981133</v>
      </c>
    </row>
    <row r="30" spans="2:17" s="18" customFormat="1" ht="21.05" customHeight="1" thickBot="1" x14ac:dyDescent="0.35">
      <c r="B30" s="14" t="s" vm="114">
        <v>254</v>
      </c>
      <c r="C30" s="189" vm="1561">
        <v>12342793.34</v>
      </c>
      <c r="D30" s="190" vm="1176">
        <v>5029048.3800000008</v>
      </c>
      <c r="E30" s="313">
        <v>-59.255184450815726</v>
      </c>
      <c r="F30" s="213" vm="748">
        <v>2507</v>
      </c>
      <c r="G30" s="189" vm="1392">
        <v>1369</v>
      </c>
      <c r="H30" s="181">
        <v>-45.392899880335058</v>
      </c>
    </row>
    <row r="31" spans="2:17" ht="21.05" customHeight="1" thickBot="1" x14ac:dyDescent="0.35">
      <c r="B31" s="110" t="s" vm="47">
        <v>255</v>
      </c>
      <c r="C31" s="191" vm="1780">
        <v>69194994.76000002</v>
      </c>
      <c r="D31" s="192" vm="1597">
        <v>48855350.569999993</v>
      </c>
      <c r="E31" s="314">
        <v>-29.394675526094389</v>
      </c>
      <c r="F31" s="192" vm="1722">
        <v>12906</v>
      </c>
      <c r="G31" s="191" vm="1427">
        <v>9956</v>
      </c>
      <c r="H31" s="314">
        <v>-22.857585619091893</v>
      </c>
    </row>
    <row r="32" spans="2:17" s="55" customFormat="1" ht="3.75" customHeight="1" x14ac:dyDescent="0.3">
      <c r="B32" s="69"/>
      <c r="C32" s="15" t="s">
        <v>196</v>
      </c>
      <c r="D32" s="70"/>
      <c r="E32" s="175"/>
      <c r="F32" s="70"/>
      <c r="G32" s="17" t="s">
        <v>196</v>
      </c>
      <c r="H32" s="181"/>
      <c r="I32" s="70"/>
      <c r="J32" s="70"/>
      <c r="K32" s="70"/>
      <c r="L32" s="70"/>
      <c r="M32" s="54"/>
      <c r="N32" s="54"/>
      <c r="O32" s="54"/>
      <c r="P32" s="54"/>
      <c r="Q32" s="54"/>
    </row>
    <row r="33" spans="2:12" ht="23.3" customHeight="1" x14ac:dyDescent="0.3">
      <c r="B33" s="241" t="s">
        <v>63</v>
      </c>
      <c r="C33" s="275">
        <v>109937889.02000003</v>
      </c>
      <c r="D33" s="275">
        <v>84287330.919999987</v>
      </c>
      <c r="E33" s="301">
        <v>-23.331863408195559</v>
      </c>
      <c r="F33" s="277">
        <v>18925</v>
      </c>
      <c r="G33" s="277">
        <v>14576</v>
      </c>
      <c r="H33" s="301">
        <v>-22.980184940554821</v>
      </c>
    </row>
    <row r="34" spans="2:12" x14ac:dyDescent="0.3">
      <c r="B34" s="75"/>
      <c r="C34" s="75"/>
      <c r="D34" s="75"/>
      <c r="E34" s="81"/>
      <c r="F34" s="75"/>
      <c r="G34" s="75"/>
      <c r="H34" s="81"/>
      <c r="I34" s="18"/>
      <c r="J34" s="18"/>
      <c r="K34" s="18"/>
      <c r="L34" s="18"/>
    </row>
    <row r="35" spans="2:12" x14ac:dyDescent="0.3">
      <c r="B35" s="75"/>
      <c r="C35" s="75"/>
      <c r="D35" s="75"/>
      <c r="E35" s="81"/>
      <c r="F35" s="75"/>
      <c r="G35" s="75"/>
      <c r="H35" s="81"/>
      <c r="I35" s="18"/>
      <c r="J35" s="18"/>
      <c r="K35" s="18"/>
      <c r="L35" s="18"/>
    </row>
  </sheetData>
  <mergeCells count="4">
    <mergeCell ref="B5:B6"/>
    <mergeCell ref="C5:E5"/>
    <mergeCell ref="F5:H5"/>
    <mergeCell ref="B1:H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3" orientation="landscape" r:id="rId1"/>
  <customProperties>
    <customPr name="Version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6" tint="0.39997558519241921"/>
    <pageSetUpPr fitToPage="1"/>
  </sheetPr>
  <dimension ref="A1:U29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8.59765625" style="8" bestFit="1" customWidth="1"/>
    <col min="4" max="4" width="11.296875" style="8" bestFit="1" customWidth="1"/>
    <col min="5" max="5" width="18.59765625" style="8" bestFit="1" customWidth="1"/>
    <col min="6" max="6" width="11.296875" style="8" bestFit="1" customWidth="1"/>
    <col min="7" max="7" width="11.69921875" style="61" bestFit="1" customWidth="1"/>
    <col min="8" max="8" width="14.69921875" style="8" bestFit="1" customWidth="1"/>
    <col min="9" max="9" width="12.296875" style="8" bestFit="1" customWidth="1"/>
    <col min="10" max="10" width="14.69921875" style="8" bestFit="1" customWidth="1"/>
    <col min="11" max="11" width="12.296875" style="8" bestFit="1" customWidth="1"/>
    <col min="12" max="12" width="11.59765625" style="61" customWidth="1"/>
    <col min="13" max="16384" width="9.296875" style="8"/>
  </cols>
  <sheetData>
    <row r="1" spans="1:21" s="18" customFormat="1" ht="58.85" customHeight="1" x14ac:dyDescent="0.3">
      <c r="A1" s="373" t="s">
        <v>141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</row>
    <row r="2" spans="1:21" s="18" customFormat="1" ht="13.15" x14ac:dyDescent="0.3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21" ht="21.75" customHeight="1" x14ac:dyDescent="0.35"/>
    <row r="4" spans="1:21" ht="7.5" customHeight="1" thickBot="1" x14ac:dyDescent="0.4"/>
    <row r="5" spans="1:21" s="53" customFormat="1" ht="14.95" customHeight="1" x14ac:dyDescent="0.3">
      <c r="B5" s="369" t="s">
        <v>44</v>
      </c>
      <c r="C5" s="367" t="s">
        <v>37</v>
      </c>
      <c r="D5" s="367"/>
      <c r="E5" s="367"/>
      <c r="F5" s="367"/>
      <c r="G5" s="367"/>
      <c r="H5" s="367" t="s">
        <v>41</v>
      </c>
      <c r="I5" s="367"/>
      <c r="J5" s="367"/>
      <c r="K5" s="367"/>
      <c r="L5" s="368"/>
    </row>
    <row r="6" spans="1:21" s="54" customFormat="1" ht="23.85" thickBot="1" x14ac:dyDescent="0.35">
      <c r="B6" s="370"/>
      <c r="C6" s="6" t="s">
        <v>143</v>
      </c>
      <c r="D6" s="6" t="s">
        <v>38</v>
      </c>
      <c r="E6" s="6" t="s">
        <v>144</v>
      </c>
      <c r="F6" s="6" t="s">
        <v>38</v>
      </c>
      <c r="G6" s="22" t="s">
        <v>142</v>
      </c>
      <c r="H6" s="6" t="s">
        <v>143</v>
      </c>
      <c r="I6" s="6" t="s">
        <v>38</v>
      </c>
      <c r="J6" s="6" t="s">
        <v>144</v>
      </c>
      <c r="K6" s="6" t="s">
        <v>38</v>
      </c>
      <c r="L6" s="24" t="s">
        <v>195</v>
      </c>
    </row>
    <row r="7" spans="1:21" s="55" customFormat="1" ht="8.4499999999999993" customHeight="1" x14ac:dyDescent="0.3">
      <c r="C7" s="54"/>
      <c r="D7" s="54"/>
      <c r="E7" s="54"/>
      <c r="F7" s="54"/>
      <c r="G7" s="56"/>
      <c r="H7" s="54"/>
      <c r="I7" s="54"/>
      <c r="J7" s="54"/>
      <c r="K7" s="54"/>
      <c r="L7" s="56"/>
      <c r="M7" s="54"/>
      <c r="N7" s="54"/>
      <c r="O7" s="54"/>
      <c r="P7" s="54"/>
      <c r="Q7" s="54"/>
    </row>
    <row r="8" spans="1:21" s="18" customFormat="1" ht="37.549999999999997" customHeight="1" x14ac:dyDescent="0.3">
      <c r="B8" s="14" t="s" vm="159">
        <v>218</v>
      </c>
      <c r="C8" s="189" vm="1588">
        <v>393666683.86000001</v>
      </c>
      <c r="D8" s="218">
        <v>98.240000000000009</v>
      </c>
      <c r="E8" s="190" vm="1891">
        <v>305320939.06</v>
      </c>
      <c r="F8" s="181">
        <v>95.76</v>
      </c>
      <c r="G8" s="313">
        <v>-22.441763151950767</v>
      </c>
      <c r="H8" s="213" vm="1112">
        <v>260694</v>
      </c>
      <c r="I8" s="181">
        <v>88.45</v>
      </c>
      <c r="J8" s="190" vm="1333">
        <v>267732</v>
      </c>
      <c r="K8" s="181">
        <v>78.7</v>
      </c>
      <c r="L8" s="181">
        <v>2.6997169094800739</v>
      </c>
    </row>
    <row r="9" spans="1:21" s="18" customFormat="1" ht="37.549999999999997" customHeight="1" x14ac:dyDescent="0.3">
      <c r="B9" s="14" t="s" vm="138">
        <v>219</v>
      </c>
      <c r="C9" s="189" vm="699">
        <v>254715.7</v>
      </c>
      <c r="D9" s="218">
        <v>0.06</v>
      </c>
      <c r="E9" s="190" vm="960">
        <v>8651663.25</v>
      </c>
      <c r="F9" s="181">
        <v>2.71</v>
      </c>
      <c r="G9" s="313">
        <v>3296.5959891753828</v>
      </c>
      <c r="H9" s="213" vm="799">
        <v>8010</v>
      </c>
      <c r="I9" s="181">
        <v>2.72</v>
      </c>
      <c r="J9" s="190" vm="1034">
        <v>62571</v>
      </c>
      <c r="K9" s="181">
        <v>18.39</v>
      </c>
      <c r="L9" s="181">
        <v>681.16104868913862</v>
      </c>
    </row>
    <row r="10" spans="1:21" s="18" customFormat="1" ht="37.549999999999997" customHeight="1" x14ac:dyDescent="0.3">
      <c r="B10" s="14" t="s" vm="113">
        <v>220</v>
      </c>
      <c r="C10" s="189" vm="1796">
        <v>4376386.03</v>
      </c>
      <c r="D10" s="218">
        <v>1.0900000000000001</v>
      </c>
      <c r="E10" s="190" vm="1072">
        <v>4327774.54</v>
      </c>
      <c r="F10" s="181">
        <v>1.36</v>
      </c>
      <c r="G10" s="313">
        <v>-1.1107678725498573</v>
      </c>
      <c r="H10" s="213" vm="935">
        <v>612</v>
      </c>
      <c r="I10" s="181">
        <v>0.21</v>
      </c>
      <c r="J10" s="190" vm="1135">
        <v>511</v>
      </c>
      <c r="K10" s="181">
        <v>0.15</v>
      </c>
      <c r="L10" s="181">
        <v>-16.503267973856211</v>
      </c>
    </row>
    <row r="11" spans="1:21" s="18" customFormat="1" ht="35.450000000000003" customHeight="1" x14ac:dyDescent="0.3">
      <c r="B11" s="14" t="s" vm="90">
        <v>221</v>
      </c>
      <c r="C11" s="189" vm="1061">
        <v>2451139.9699999997</v>
      </c>
      <c r="D11" s="218">
        <v>0.61</v>
      </c>
      <c r="E11" s="190" vm="816">
        <v>528870.63</v>
      </c>
      <c r="F11" s="181">
        <v>0.17</v>
      </c>
      <c r="G11" s="313">
        <v>-78.4234830946843</v>
      </c>
      <c r="H11" s="213" vm="1238">
        <v>25416</v>
      </c>
      <c r="I11" s="181">
        <v>8.6199999999999992</v>
      </c>
      <c r="J11" s="190" vm="760">
        <v>9397</v>
      </c>
      <c r="K11" s="181">
        <v>2.76</v>
      </c>
      <c r="L11" s="181">
        <v>-63.027226943657539</v>
      </c>
    </row>
    <row r="12" spans="1:21" s="55" customFormat="1" ht="3.05" customHeight="1" thickBot="1" x14ac:dyDescent="0.35">
      <c r="B12" s="69"/>
      <c r="C12" s="189"/>
      <c r="D12" s="222"/>
      <c r="E12" s="190"/>
      <c r="F12" s="70"/>
      <c r="G12" s="237"/>
      <c r="H12" s="213"/>
      <c r="I12" s="70"/>
      <c r="J12" s="190"/>
      <c r="K12" s="70"/>
      <c r="L12" s="181"/>
      <c r="M12" s="70"/>
      <c r="N12" s="70"/>
      <c r="O12" s="70"/>
      <c r="P12" s="70"/>
      <c r="Q12" s="54"/>
      <c r="R12" s="54"/>
      <c r="S12" s="54"/>
      <c r="T12" s="54"/>
      <c r="U12" s="54"/>
    </row>
    <row r="13" spans="1:21" ht="37.549999999999997" customHeight="1" thickBot="1" x14ac:dyDescent="0.35">
      <c r="B13" s="110" t="s" vm="43">
        <v>222</v>
      </c>
      <c r="C13" s="191" vm="1726">
        <v>400748925.56000006</v>
      </c>
      <c r="D13" s="216">
        <v>100.00000000000001</v>
      </c>
      <c r="E13" s="192" vm="1551">
        <v>318829247.48000002</v>
      </c>
      <c r="F13" s="216">
        <v>100</v>
      </c>
      <c r="G13" s="314">
        <v>-20.441646341416089</v>
      </c>
      <c r="H13" s="192" vm="1816">
        <v>294732</v>
      </c>
      <c r="I13" s="216">
        <v>100</v>
      </c>
      <c r="J13" s="192" vm="1788">
        <v>340211</v>
      </c>
      <c r="K13" s="216">
        <v>100.00000000000001</v>
      </c>
      <c r="L13" s="314">
        <v>15.430628503182547</v>
      </c>
    </row>
    <row r="14" spans="1:21" s="55" customFormat="1" ht="3.05" customHeight="1" x14ac:dyDescent="0.3">
      <c r="B14" s="69"/>
      <c r="C14" s="189"/>
      <c r="D14" s="222"/>
      <c r="E14" s="190"/>
      <c r="F14" s="222"/>
      <c r="G14" s="237"/>
      <c r="H14" s="213"/>
      <c r="I14" s="222"/>
      <c r="J14" s="190"/>
      <c r="K14" s="222"/>
      <c r="L14" s="181"/>
      <c r="M14" s="70"/>
      <c r="N14" s="70"/>
      <c r="O14" s="70"/>
      <c r="P14" s="70"/>
      <c r="Q14" s="54"/>
      <c r="R14" s="54"/>
      <c r="S14" s="54"/>
      <c r="T14" s="54"/>
      <c r="U14" s="54"/>
    </row>
    <row r="15" spans="1:21" s="18" customFormat="1" ht="35.450000000000003" customHeight="1" x14ac:dyDescent="0.3">
      <c r="B15" s="14" t="s" vm="137">
        <v>223</v>
      </c>
      <c r="C15" s="189" vm="897">
        <v>158959.55999999997</v>
      </c>
      <c r="D15" s="218">
        <v>8.1</v>
      </c>
      <c r="E15" s="190" vm="938">
        <v>128617.34</v>
      </c>
      <c r="F15" s="218">
        <v>9</v>
      </c>
      <c r="G15" s="313">
        <v>-19.088012070491374</v>
      </c>
      <c r="H15" s="213" vm="890">
        <v>11</v>
      </c>
      <c r="I15" s="218">
        <v>84.62</v>
      </c>
      <c r="J15" s="190" vm="1309">
        <v>12</v>
      </c>
      <c r="K15" s="218">
        <v>85.71</v>
      </c>
      <c r="L15" s="181">
        <v>9.0909090909090793</v>
      </c>
    </row>
    <row r="16" spans="1:21" s="18" customFormat="1" ht="35.450000000000003" customHeight="1" x14ac:dyDescent="0.3">
      <c r="B16" s="14" t="s" vm="112">
        <v>224</v>
      </c>
      <c r="C16" s="189" vm="1608">
        <v>1803865.2</v>
      </c>
      <c r="D16" s="218">
        <v>91.9</v>
      </c>
      <c r="E16" s="190" vm="1880">
        <v>1299974.8400000001</v>
      </c>
      <c r="F16" s="218">
        <v>91</v>
      </c>
      <c r="G16" s="313">
        <v>-27.933925439661451</v>
      </c>
      <c r="H16" s="213" vm="1381">
        <v>2</v>
      </c>
      <c r="I16" s="218">
        <v>15.38</v>
      </c>
      <c r="J16" s="190" vm="1449">
        <v>2</v>
      </c>
      <c r="K16" s="218">
        <v>14.29</v>
      </c>
      <c r="L16" s="181">
        <v>0</v>
      </c>
    </row>
    <row r="17" spans="2:21" ht="3.75" customHeight="1" thickBot="1" x14ac:dyDescent="0.35">
      <c r="B17" s="26"/>
      <c r="C17" s="189"/>
      <c r="D17" s="218"/>
      <c r="E17" s="190"/>
      <c r="F17" s="236"/>
      <c r="G17" s="227"/>
      <c r="H17" s="213"/>
      <c r="I17" s="236"/>
      <c r="J17" s="190"/>
      <c r="K17" s="236"/>
      <c r="L17" s="181"/>
    </row>
    <row r="18" spans="2:21" ht="37.549999999999997" customHeight="1" thickBot="1" x14ac:dyDescent="0.35">
      <c r="B18" s="110" t="s" vm="34">
        <v>225</v>
      </c>
      <c r="C18" s="191" vm="762">
        <v>1962824.76</v>
      </c>
      <c r="D18" s="216">
        <v>100</v>
      </c>
      <c r="E18" s="192" vm="758">
        <v>1428592.1800000002</v>
      </c>
      <c r="F18" s="216">
        <v>100</v>
      </c>
      <c r="G18" s="314">
        <v>-27.217538258484154</v>
      </c>
      <c r="H18" s="192" vm="1054">
        <v>13</v>
      </c>
      <c r="I18" s="216">
        <v>100</v>
      </c>
      <c r="J18" s="192" vm="1022">
        <v>14</v>
      </c>
      <c r="K18" s="216">
        <v>100</v>
      </c>
      <c r="L18" s="314">
        <v>7.6923076923076934</v>
      </c>
    </row>
    <row r="19" spans="2:21" ht="4.8499999999999996" customHeight="1" x14ac:dyDescent="0.3">
      <c r="B19" s="31"/>
      <c r="C19" s="189"/>
      <c r="D19" s="217"/>
      <c r="E19" s="190"/>
      <c r="F19" s="217"/>
      <c r="G19" s="227"/>
      <c r="H19" s="213"/>
      <c r="I19" s="217"/>
      <c r="J19" s="190"/>
      <c r="K19" s="217"/>
      <c r="L19" s="181"/>
    </row>
    <row r="20" spans="2:21" ht="38.25" customHeight="1" x14ac:dyDescent="0.3">
      <c r="B20" s="14" t="s" vm="158">
        <v>226</v>
      </c>
      <c r="C20" s="189" vm="1808">
        <v>15026040.279999999</v>
      </c>
      <c r="D20" s="218">
        <v>95.11</v>
      </c>
      <c r="E20" s="190" vm="1090">
        <v>15892881.42</v>
      </c>
      <c r="F20" s="218">
        <v>94.9</v>
      </c>
      <c r="G20" s="313">
        <v>5.7689259701625133</v>
      </c>
      <c r="H20" s="213" vm="995">
        <v>719</v>
      </c>
      <c r="I20" s="218">
        <v>33.299999999999997</v>
      </c>
      <c r="J20" s="190" vm="1216">
        <v>706</v>
      </c>
      <c r="K20" s="218">
        <v>31.69</v>
      </c>
      <c r="L20" s="181">
        <v>-1.8080667593880406</v>
      </c>
    </row>
    <row r="21" spans="2:21" ht="37.549999999999997" customHeight="1" x14ac:dyDescent="0.3">
      <c r="B21" s="14" t="s" vm="136">
        <v>227</v>
      </c>
      <c r="C21" s="189" vm="1818">
        <v>179.54</v>
      </c>
      <c r="D21" s="218">
        <v>0</v>
      </c>
      <c r="E21" s="190" vm="1516">
        <v>20505.169999999998</v>
      </c>
      <c r="F21" s="218">
        <v>0.12</v>
      </c>
      <c r="G21" s="313">
        <v>11320.947978166425</v>
      </c>
      <c r="H21" s="213" vm="1486">
        <v>1</v>
      </c>
      <c r="I21" s="218">
        <v>0.05</v>
      </c>
      <c r="J21" s="190" vm="1855">
        <v>1</v>
      </c>
      <c r="K21" s="218">
        <v>0.04</v>
      </c>
      <c r="L21" s="181">
        <v>0</v>
      </c>
    </row>
    <row r="22" spans="2:21" ht="36" customHeight="1" x14ac:dyDescent="0.3">
      <c r="B22" s="14" t="s" vm="111">
        <v>228</v>
      </c>
      <c r="C22" s="189" vm="823">
        <v>684732.46</v>
      </c>
      <c r="D22" s="218">
        <v>4.33</v>
      </c>
      <c r="E22" s="190" vm="1380">
        <v>731141.42999999993</v>
      </c>
      <c r="F22" s="218">
        <v>4.37</v>
      </c>
      <c r="G22" s="313">
        <v>6.7776792705285231</v>
      </c>
      <c r="H22" s="213" vm="741">
        <v>1336</v>
      </c>
      <c r="I22" s="218">
        <v>61.88</v>
      </c>
      <c r="J22" s="190" vm="786">
        <v>1402</v>
      </c>
      <c r="K22" s="218">
        <v>62.93</v>
      </c>
      <c r="L22" s="181">
        <v>4.9401197604790354</v>
      </c>
    </row>
    <row r="23" spans="2:21" s="18" customFormat="1" ht="31.85" customHeight="1" x14ac:dyDescent="0.3">
      <c r="B23" s="14" t="s" vm="89">
        <v>229</v>
      </c>
      <c r="C23" s="189" vm="1132">
        <v>88718.720000000001</v>
      </c>
      <c r="D23" s="218">
        <v>0.56000000000000005</v>
      </c>
      <c r="E23" s="190" vm="1125">
        <v>102687.45999999999</v>
      </c>
      <c r="F23" s="218">
        <v>0.61</v>
      </c>
      <c r="G23" s="313">
        <v>15.744974679526464</v>
      </c>
      <c r="H23" s="213" vm="1919">
        <v>103</v>
      </c>
      <c r="I23" s="218">
        <v>4.7699999999999996</v>
      </c>
      <c r="J23" s="190" vm="1771">
        <v>119</v>
      </c>
      <c r="K23" s="218">
        <v>5.34</v>
      </c>
      <c r="L23" s="181">
        <v>15.533980582524265</v>
      </c>
    </row>
    <row r="24" spans="2:21" s="55" customFormat="1" ht="3.75" customHeight="1" thickBot="1" x14ac:dyDescent="0.35">
      <c r="C24" s="189"/>
      <c r="D24" s="218"/>
      <c r="E24" s="190"/>
      <c r="F24" s="218"/>
      <c r="G24" s="227"/>
      <c r="H24" s="213"/>
      <c r="I24" s="218"/>
      <c r="J24" s="190"/>
      <c r="K24" s="218"/>
      <c r="L24" s="181"/>
      <c r="M24" s="70"/>
      <c r="N24" s="70"/>
      <c r="O24" s="70"/>
      <c r="P24" s="70"/>
      <c r="Q24" s="54"/>
      <c r="R24" s="54"/>
      <c r="S24" s="54"/>
      <c r="T24" s="54"/>
      <c r="U24" s="54"/>
    </row>
    <row r="25" spans="2:21" ht="37.549999999999997" customHeight="1" thickBot="1" x14ac:dyDescent="0.35">
      <c r="B25" s="110" t="s" vm="39">
        <v>230</v>
      </c>
      <c r="C25" s="191" vm="1909">
        <v>15799670.999999998</v>
      </c>
      <c r="D25" s="216">
        <v>100</v>
      </c>
      <c r="E25" s="192" vm="1739">
        <v>16747215.480000002</v>
      </c>
      <c r="F25" s="216">
        <v>100.00000000000001</v>
      </c>
      <c r="G25" s="314">
        <v>5.9972418413016584</v>
      </c>
      <c r="H25" s="192" vm="1479">
        <v>2159</v>
      </c>
      <c r="I25" s="216">
        <v>99.999999999999986</v>
      </c>
      <c r="J25" s="192" vm="1769">
        <v>2228</v>
      </c>
      <c r="K25" s="216">
        <v>100</v>
      </c>
      <c r="L25" s="314">
        <v>3.1959240389068952</v>
      </c>
    </row>
    <row r="26" spans="2:21" s="55" customFormat="1" ht="3.75" customHeight="1" x14ac:dyDescent="0.3">
      <c r="B26" s="69"/>
      <c r="C26" s="15"/>
      <c r="D26" s="222"/>
      <c r="E26" s="70"/>
      <c r="F26" s="222"/>
      <c r="G26" s="175"/>
      <c r="H26" s="70"/>
      <c r="I26" s="222"/>
      <c r="J26" s="17"/>
      <c r="K26" s="222"/>
      <c r="L26" s="181"/>
      <c r="M26" s="70"/>
      <c r="N26" s="70"/>
      <c r="O26" s="70"/>
      <c r="P26" s="70"/>
      <c r="Q26" s="54"/>
      <c r="R26" s="54"/>
      <c r="S26" s="54"/>
      <c r="T26" s="54"/>
      <c r="U26" s="54"/>
    </row>
    <row r="27" spans="2:21" ht="23.3" customHeight="1" x14ac:dyDescent="0.3">
      <c r="B27" s="241" t="s">
        <v>64</v>
      </c>
      <c r="C27" s="275">
        <v>418511421.32000005</v>
      </c>
      <c r="D27" s="304"/>
      <c r="E27" s="275">
        <v>337005055.14000005</v>
      </c>
      <c r="F27" s="304"/>
      <c r="G27" s="305">
        <v>-19.475302710479454</v>
      </c>
      <c r="H27" s="273">
        <v>296904</v>
      </c>
      <c r="I27" s="304"/>
      <c r="J27" s="277">
        <v>342453</v>
      </c>
      <c r="K27" s="304"/>
      <c r="L27" s="301">
        <v>15.341322447659849</v>
      </c>
    </row>
    <row r="28" spans="2:21" x14ac:dyDescent="0.3">
      <c r="B28" s="75"/>
      <c r="C28" s="75"/>
      <c r="D28" s="75"/>
      <c r="E28" s="75"/>
      <c r="F28" s="75"/>
      <c r="G28" s="81"/>
      <c r="H28" s="75"/>
      <c r="I28" s="75"/>
      <c r="J28" s="75"/>
      <c r="K28" s="75"/>
      <c r="L28" s="81"/>
      <c r="M28" s="18"/>
      <c r="N28" s="18"/>
      <c r="O28" s="18"/>
      <c r="P28" s="18"/>
    </row>
    <row r="29" spans="2:21" x14ac:dyDescent="0.3">
      <c r="B29" s="75"/>
      <c r="C29" s="75"/>
      <c r="D29" s="75"/>
      <c r="E29" s="75"/>
      <c r="F29" s="75"/>
      <c r="G29" s="81"/>
      <c r="H29" s="75"/>
      <c r="I29" s="75"/>
      <c r="J29" s="75"/>
      <c r="K29" s="75"/>
      <c r="L29" s="81"/>
      <c r="M29" s="18"/>
      <c r="N29" s="18"/>
      <c r="O29" s="18"/>
      <c r="P29" s="18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  <customProperties>
    <customPr name="Version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6" tint="0.39997558519241921"/>
    <pageSetUpPr fitToPage="1"/>
  </sheetPr>
  <dimension ref="A1:Q29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4" width="17.3984375" style="8" bestFit="1" customWidth="1"/>
    <col min="5" max="5" width="11.69921875" style="61" bestFit="1" customWidth="1"/>
    <col min="6" max="7" width="13.69921875" style="8" bestFit="1" customWidth="1"/>
    <col min="8" max="8" width="11.59765625" style="61" customWidth="1"/>
    <col min="9" max="16384" width="9.296875" style="8"/>
  </cols>
  <sheetData>
    <row r="1" spans="1:17" s="18" customFormat="1" ht="58.85" customHeight="1" x14ac:dyDescent="0.3">
      <c r="A1" s="373" t="s">
        <v>141</v>
      </c>
      <c r="B1" s="373"/>
      <c r="C1" s="373"/>
      <c r="D1" s="373"/>
      <c r="E1" s="373"/>
      <c r="F1" s="373"/>
      <c r="G1" s="373"/>
      <c r="H1" s="373"/>
    </row>
    <row r="2" spans="1:17" s="18" customFormat="1" ht="13.85" x14ac:dyDescent="0.3">
      <c r="A2" s="347"/>
      <c r="B2" s="347"/>
      <c r="C2" s="347"/>
      <c r="D2" s="347"/>
      <c r="E2" s="347"/>
      <c r="F2" s="347"/>
      <c r="G2" s="347"/>
      <c r="H2" s="347"/>
    </row>
    <row r="3" spans="1:17" ht="21.75" customHeight="1" x14ac:dyDescent="0.3"/>
    <row r="4" spans="1:17" ht="7.5" customHeight="1" thickBot="1" x14ac:dyDescent="0.35"/>
    <row r="5" spans="1:17" s="53" customFormat="1" ht="14.95" customHeight="1" x14ac:dyDescent="0.3">
      <c r="B5" s="369" t="s">
        <v>44</v>
      </c>
      <c r="C5" s="367" t="s">
        <v>65</v>
      </c>
      <c r="D5" s="367"/>
      <c r="E5" s="367"/>
      <c r="F5" s="367" t="s">
        <v>42</v>
      </c>
      <c r="G5" s="367"/>
      <c r="H5" s="368"/>
    </row>
    <row r="6" spans="1:17" s="54" customFormat="1" ht="23.85" thickBot="1" x14ac:dyDescent="0.35">
      <c r="B6" s="370"/>
      <c r="C6" s="6" t="s">
        <v>143</v>
      </c>
      <c r="D6" s="6" t="s">
        <v>144</v>
      </c>
      <c r="E6" s="22" t="s">
        <v>142</v>
      </c>
      <c r="F6" s="6" t="s">
        <v>143</v>
      </c>
      <c r="G6" s="6" t="s">
        <v>144</v>
      </c>
      <c r="H6" s="24" t="s">
        <v>142</v>
      </c>
    </row>
    <row r="7" spans="1:17" s="55" customFormat="1" ht="8.4499999999999993" customHeight="1" x14ac:dyDescent="0.3">
      <c r="C7" s="54"/>
      <c r="D7" s="54"/>
      <c r="E7" s="56"/>
      <c r="F7" s="54"/>
      <c r="G7" s="54"/>
      <c r="H7" s="56"/>
      <c r="I7" s="54"/>
      <c r="J7" s="54"/>
      <c r="K7" s="54"/>
      <c r="L7" s="54"/>
      <c r="M7" s="54"/>
    </row>
    <row r="8" spans="1:17" s="18" customFormat="1" ht="37.549999999999997" customHeight="1" x14ac:dyDescent="0.3">
      <c r="B8" s="14" t="s" vm="159">
        <v>218</v>
      </c>
      <c r="C8" s="190" vm="1004">
        <v>159208814.88</v>
      </c>
      <c r="D8" s="190" vm="959">
        <v>152415153.18000001</v>
      </c>
      <c r="E8" s="313">
        <v>-4.2671391688459863</v>
      </c>
      <c r="F8" s="213" vm="1032">
        <v>12308</v>
      </c>
      <c r="G8" s="190" vm="966">
        <v>11892</v>
      </c>
      <c r="H8" s="181">
        <v>-3.3799155021124534</v>
      </c>
    </row>
    <row r="9" spans="1:17" s="18" customFormat="1" ht="37.549999999999997" customHeight="1" x14ac:dyDescent="0.3">
      <c r="B9" s="14" t="s" vm="138">
        <v>219</v>
      </c>
      <c r="C9" s="190" vm="1709">
        <v>229920.83</v>
      </c>
      <c r="D9" s="190" vm="1414">
        <v>389955.87</v>
      </c>
      <c r="E9" s="313">
        <v>69.604411222767425</v>
      </c>
      <c r="F9" s="213" vm="1758">
        <v>26</v>
      </c>
      <c r="G9" s="190" vm="1887">
        <v>92</v>
      </c>
      <c r="H9" s="181">
        <v>253.84615384615381</v>
      </c>
    </row>
    <row r="10" spans="1:17" s="18" customFormat="1" ht="37.549999999999997" customHeight="1" x14ac:dyDescent="0.3">
      <c r="B10" s="14" t="s" vm="113">
        <v>220</v>
      </c>
      <c r="C10" s="190" vm="1845">
        <v>1334486.1399999999</v>
      </c>
      <c r="D10" s="190" vm="1594">
        <v>949832.36</v>
      </c>
      <c r="E10" s="313">
        <v>-28.824112028619481</v>
      </c>
      <c r="F10" s="213" vm="1424">
        <v>236</v>
      </c>
      <c r="G10" s="190" vm="1376">
        <v>146</v>
      </c>
      <c r="H10" s="181">
        <v>-38.135593220338983</v>
      </c>
    </row>
    <row r="11" spans="1:17" s="18" customFormat="1" ht="35.450000000000003" customHeight="1" x14ac:dyDescent="0.3">
      <c r="B11" s="14" t="s" vm="90">
        <v>221</v>
      </c>
      <c r="C11" s="190" vm="1627">
        <v>517600.11</v>
      </c>
      <c r="D11" s="190" vm="1064">
        <v>450112.64000000007</v>
      </c>
      <c r="E11" s="313">
        <v>-13.038534709739508</v>
      </c>
      <c r="F11" s="213" vm="1936">
        <v>26</v>
      </c>
      <c r="G11" s="190" vm="1123">
        <v>23</v>
      </c>
      <c r="H11" s="181">
        <v>-11.538461538461547</v>
      </c>
    </row>
    <row r="12" spans="1:17" s="55" customFormat="1" ht="3.05" customHeight="1" thickBot="1" x14ac:dyDescent="0.35">
      <c r="B12" s="69"/>
      <c r="C12" s="190"/>
      <c r="D12" s="190"/>
      <c r="E12" s="237"/>
      <c r="F12" s="213"/>
      <c r="G12" s="190"/>
      <c r="H12" s="181"/>
      <c r="I12" s="70"/>
      <c r="J12" s="70"/>
      <c r="K12" s="70"/>
      <c r="L12" s="70"/>
      <c r="M12" s="54"/>
      <c r="N12" s="54"/>
      <c r="O12" s="54"/>
      <c r="P12" s="54"/>
      <c r="Q12" s="54"/>
    </row>
    <row r="13" spans="1:17" ht="37.549999999999997" customHeight="1" thickBot="1" x14ac:dyDescent="0.35">
      <c r="B13" s="110" t="s" vm="43">
        <v>222</v>
      </c>
      <c r="C13" s="192" vm="1932">
        <v>161290821.96000001</v>
      </c>
      <c r="D13" s="192" vm="752">
        <v>154205054.05000001</v>
      </c>
      <c r="E13" s="314">
        <v>-4.3931625023011236</v>
      </c>
      <c r="F13" s="192" vm="1326">
        <v>12596</v>
      </c>
      <c r="G13" s="192" vm="804">
        <v>12153</v>
      </c>
      <c r="H13" s="314">
        <v>-3.5169895204826958</v>
      </c>
    </row>
    <row r="14" spans="1:17" s="55" customFormat="1" ht="3.05" customHeight="1" x14ac:dyDescent="0.3">
      <c r="B14" s="69"/>
      <c r="C14" s="190"/>
      <c r="D14" s="190"/>
      <c r="E14" s="237"/>
      <c r="F14" s="213"/>
      <c r="G14" s="190"/>
      <c r="H14" s="181"/>
      <c r="I14" s="70"/>
      <c r="J14" s="70"/>
      <c r="K14" s="70"/>
      <c r="L14" s="70"/>
      <c r="M14" s="54"/>
      <c r="N14" s="54"/>
      <c r="O14" s="54"/>
      <c r="P14" s="54"/>
      <c r="Q14" s="54"/>
    </row>
    <row r="15" spans="1:17" s="18" customFormat="1" ht="35.450000000000003" customHeight="1" x14ac:dyDescent="0.3">
      <c r="B15" s="14" t="s" vm="137">
        <v>223</v>
      </c>
      <c r="C15" s="190" vm="776">
        <v>0</v>
      </c>
      <c r="D15" s="190" vm="1335">
        <v>0</v>
      </c>
      <c r="E15" s="313" t="s">
        <v>145</v>
      </c>
      <c r="F15" s="213" vm="1697">
        <v>0</v>
      </c>
      <c r="G15" s="190" vm="780">
        <v>0</v>
      </c>
      <c r="H15" s="181" t="s">
        <v>145</v>
      </c>
    </row>
    <row r="16" spans="1:17" s="18" customFormat="1" ht="35.450000000000003" customHeight="1" x14ac:dyDescent="0.3">
      <c r="B16" s="14" t="s" vm="112">
        <v>224</v>
      </c>
      <c r="C16" s="190" vm="1665">
        <v>0</v>
      </c>
      <c r="D16" s="190" vm="1883">
        <v>0</v>
      </c>
      <c r="E16" s="313" t="s">
        <v>145</v>
      </c>
      <c r="F16" s="213" vm="1765">
        <v>0</v>
      </c>
      <c r="G16" s="190" vm="1468">
        <v>0</v>
      </c>
      <c r="H16" s="181" t="s">
        <v>145</v>
      </c>
    </row>
    <row r="17" spans="2:17" ht="3.75" customHeight="1" thickBot="1" x14ac:dyDescent="0.35">
      <c r="B17" s="26"/>
      <c r="C17" s="190"/>
      <c r="D17" s="190"/>
      <c r="E17" s="227"/>
      <c r="F17" s="213"/>
      <c r="G17" s="190"/>
      <c r="H17" s="181"/>
    </row>
    <row r="18" spans="2:17" ht="37.549999999999997" customHeight="1" thickBot="1" x14ac:dyDescent="0.35">
      <c r="B18" s="110" t="s" vm="34">
        <v>225</v>
      </c>
      <c r="C18" s="192" vm="1791">
        <v>0</v>
      </c>
      <c r="D18" s="192" vm="1393">
        <v>0</v>
      </c>
      <c r="E18" s="314" t="s">
        <v>145</v>
      </c>
      <c r="F18" s="192" vm="1504">
        <v>0</v>
      </c>
      <c r="G18" s="192" vm="1562">
        <v>0</v>
      </c>
      <c r="H18" s="314" t="s">
        <v>145</v>
      </c>
    </row>
    <row r="19" spans="2:17" ht="4.8499999999999996" customHeight="1" x14ac:dyDescent="0.3">
      <c r="B19" s="31"/>
      <c r="C19" s="190"/>
      <c r="D19" s="190"/>
      <c r="E19" s="227"/>
      <c r="F19" s="213"/>
      <c r="G19" s="190"/>
      <c r="H19" s="181"/>
    </row>
    <row r="20" spans="2:17" ht="38.25" customHeight="1" x14ac:dyDescent="0.3">
      <c r="B20" s="14" t="s" vm="158">
        <v>226</v>
      </c>
      <c r="C20" s="190" vm="756">
        <v>630612.6100000001</v>
      </c>
      <c r="D20" s="190" vm="814">
        <v>572041.85</v>
      </c>
      <c r="E20" s="313">
        <v>-9.2879144931783344</v>
      </c>
      <c r="F20" s="213" vm="866">
        <v>13</v>
      </c>
      <c r="G20" s="190" vm="964">
        <v>14</v>
      </c>
      <c r="H20" s="181">
        <v>7.6923076923076934</v>
      </c>
    </row>
    <row r="21" spans="2:17" ht="37.549999999999997" customHeight="1" x14ac:dyDescent="0.3">
      <c r="B21" s="14" t="s" vm="136">
        <v>227</v>
      </c>
      <c r="C21" s="190" vm="1828">
        <v>217.76</v>
      </c>
      <c r="D21" s="190" vm="1545">
        <v>0</v>
      </c>
      <c r="E21" s="313" t="s">
        <v>145</v>
      </c>
      <c r="F21" s="213" vm="1007">
        <v>0</v>
      </c>
      <c r="G21" s="190" vm="1010">
        <v>0</v>
      </c>
      <c r="H21" s="181" t="s">
        <v>145</v>
      </c>
    </row>
    <row r="22" spans="2:17" ht="36" customHeight="1" x14ac:dyDescent="0.3">
      <c r="B22" s="14" t="s" vm="111">
        <v>228</v>
      </c>
      <c r="C22" s="190" vm="1458">
        <v>19950</v>
      </c>
      <c r="D22" s="190" vm="1057">
        <v>28419.79</v>
      </c>
      <c r="E22" s="313">
        <v>42.455087719298234</v>
      </c>
      <c r="F22" s="213" vm="1017">
        <v>1</v>
      </c>
      <c r="G22" s="190" vm="1236">
        <v>2</v>
      </c>
      <c r="H22" s="181">
        <v>100</v>
      </c>
    </row>
    <row r="23" spans="2:17" s="18" customFormat="1" ht="31.85" customHeight="1" x14ac:dyDescent="0.3">
      <c r="B23" s="14" t="s" vm="89">
        <v>229</v>
      </c>
      <c r="C23" s="190" vm="1498">
        <v>188543.86</v>
      </c>
      <c r="D23" s="190" vm="1852">
        <v>90298.31</v>
      </c>
      <c r="E23" s="313">
        <v>-52.107530841895354</v>
      </c>
      <c r="F23" s="213" vm="1483">
        <v>8</v>
      </c>
      <c r="G23" s="190" vm="1451">
        <v>4</v>
      </c>
      <c r="H23" s="181">
        <v>-50</v>
      </c>
    </row>
    <row r="24" spans="2:17" s="55" customFormat="1" ht="3.75" customHeight="1" thickBot="1" x14ac:dyDescent="0.35">
      <c r="C24" s="190"/>
      <c r="D24" s="190"/>
      <c r="E24" s="227"/>
      <c r="F24" s="213"/>
      <c r="G24" s="190"/>
      <c r="H24" s="181"/>
      <c r="I24" s="70"/>
      <c r="J24" s="70"/>
      <c r="K24" s="70"/>
      <c r="L24" s="70"/>
      <c r="M24" s="54"/>
      <c r="N24" s="54"/>
      <c r="O24" s="54"/>
      <c r="P24" s="54"/>
      <c r="Q24" s="54"/>
    </row>
    <row r="25" spans="2:17" ht="37.549999999999997" customHeight="1" thickBot="1" x14ac:dyDescent="0.35">
      <c r="B25" s="110" t="s" vm="39">
        <v>230</v>
      </c>
      <c r="C25" s="192" vm="1833">
        <v>839324.23</v>
      </c>
      <c r="D25" s="192" vm="869">
        <v>690759.95</v>
      </c>
      <c r="E25" s="314">
        <v>-17.700463621787733</v>
      </c>
      <c r="F25" s="192" vm="1549">
        <v>22</v>
      </c>
      <c r="G25" s="192" vm="967">
        <v>20</v>
      </c>
      <c r="H25" s="314">
        <v>-9.0909090909090935</v>
      </c>
    </row>
    <row r="26" spans="2:17" s="55" customFormat="1" ht="3.75" customHeight="1" x14ac:dyDescent="0.3">
      <c r="B26" s="69"/>
      <c r="C26" s="15"/>
      <c r="D26" s="70"/>
      <c r="E26" s="175"/>
      <c r="F26" s="70"/>
      <c r="G26" s="17" t="s">
        <v>196</v>
      </c>
      <c r="H26" s="181"/>
      <c r="I26" s="70"/>
      <c r="J26" s="70"/>
      <c r="K26" s="70"/>
      <c r="L26" s="70"/>
      <c r="M26" s="54"/>
      <c r="N26" s="54"/>
      <c r="O26" s="54"/>
      <c r="P26" s="54"/>
      <c r="Q26" s="54"/>
    </row>
    <row r="27" spans="2:17" ht="23.3" customHeight="1" x14ac:dyDescent="0.3">
      <c r="B27" s="241" t="s">
        <v>64</v>
      </c>
      <c r="C27" s="275">
        <v>162130146.19</v>
      </c>
      <c r="D27" s="275">
        <v>154895814</v>
      </c>
      <c r="E27" s="301">
        <v>-4.4620524683436145</v>
      </c>
      <c r="F27" s="275">
        <v>12618</v>
      </c>
      <c r="G27" s="277">
        <v>12173</v>
      </c>
      <c r="H27" s="301">
        <v>-3.5267078776351326</v>
      </c>
    </row>
    <row r="28" spans="2:17" x14ac:dyDescent="0.3">
      <c r="B28" s="75"/>
      <c r="C28" s="75"/>
      <c r="D28" s="75"/>
      <c r="E28" s="81"/>
      <c r="F28" s="75"/>
      <c r="G28" s="75"/>
      <c r="H28" s="81"/>
      <c r="I28" s="18"/>
      <c r="J28" s="18"/>
      <c r="K28" s="18"/>
      <c r="L28" s="18"/>
    </row>
    <row r="29" spans="2:17" x14ac:dyDescent="0.3">
      <c r="B29" s="75"/>
      <c r="C29" s="75"/>
      <c r="D29" s="75"/>
      <c r="E29" s="81"/>
      <c r="F29" s="75"/>
      <c r="G29" s="75"/>
      <c r="H29" s="81"/>
      <c r="I29" s="18"/>
      <c r="J29" s="18"/>
      <c r="K29" s="18"/>
      <c r="L29" s="18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86" orientation="landscape" r:id="rId1"/>
  <customProperties>
    <customPr name="Version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121"/>
  <sheetViews>
    <sheetView workbookViewId="0">
      <selection activeCell="J19" sqref="J19"/>
    </sheetView>
  </sheetViews>
  <sheetFormatPr defaultRowHeight="14.4" x14ac:dyDescent="0.3"/>
  <cols>
    <col min="1" max="1" width="47.69921875" customWidth="1"/>
    <col min="2" max="2" width="15.296875" bestFit="1" customWidth="1"/>
    <col min="3" max="3" width="88.69921875" customWidth="1"/>
    <col min="6" max="6" width="112.296875" customWidth="1"/>
    <col min="7" max="7" width="39" bestFit="1" customWidth="1"/>
    <col min="8" max="8" width="16.3984375" bestFit="1" customWidth="1"/>
    <col min="9" max="9" width="15.69921875" customWidth="1"/>
    <col min="10" max="10" width="14.296875" customWidth="1"/>
  </cols>
  <sheetData>
    <row r="1" spans="1:10" ht="14.95" x14ac:dyDescent="0.25">
      <c r="A1" t="str" vm="25">
        <f>CUBEMEMBER("KRK HUO2 RH Statistika","[Measures].[Broj osiguranja- rizici]")</f>
        <v>Broj osiguranja- rizici</v>
      </c>
      <c r="B1" t="str" vm="27">
        <f>CUBEMEMBER("KRK HUO2 RH Statistika","[Measures].[Broj šteta - rizici]")</f>
        <v>Broj šteta - rizici</v>
      </c>
      <c r="C1" t="str" vm="26">
        <f>CUBEMEMBER("KRK HUO2 RH Statistika","[Measures].[Likvidirane štete bruto - rizici]")</f>
        <v>Likvidirane štete bruto - rizici</v>
      </c>
      <c r="I1" t="s">
        <v>73</v>
      </c>
      <c r="J1" t="s">
        <v>74</v>
      </c>
    </row>
    <row r="2" spans="1:10" x14ac:dyDescent="0.3">
      <c r="A2" vm="28">
        <f>CUBEVALUE("KRK HUO2 RH Statistika",A$1)</f>
        <v>178942285</v>
      </c>
      <c r="B2" vm="30">
        <f>CUBEVALUE("KRK HUO2 RH Statistika",B$1)</f>
        <v>16976561</v>
      </c>
      <c r="C2" vm="29">
        <f>CUBEVALUE("KRK HUO2 RH Statistika",C$1)</f>
        <v>101379665235.30031</v>
      </c>
      <c r="I2" t="s">
        <v>75</v>
      </c>
      <c r="J2" t="s">
        <v>86</v>
      </c>
    </row>
    <row r="3" spans="1:10" x14ac:dyDescent="0.3">
      <c r="I3" t="s">
        <v>76</v>
      </c>
      <c r="J3" t="s">
        <v>87</v>
      </c>
    </row>
    <row r="4" spans="1:10" x14ac:dyDescent="0.3">
      <c r="I4" t="s">
        <v>77</v>
      </c>
      <c r="J4" t="s">
        <v>88</v>
      </c>
    </row>
    <row r="5" spans="1:10" x14ac:dyDescent="0.3">
      <c r="I5" t="s">
        <v>78</v>
      </c>
      <c r="J5" t="s">
        <v>89</v>
      </c>
    </row>
    <row r="6" spans="1:10" x14ac:dyDescent="0.3">
      <c r="A6" t="s">
        <v>17</v>
      </c>
      <c r="C6" t="s">
        <v>17</v>
      </c>
      <c r="F6" t="s">
        <v>17</v>
      </c>
      <c r="G6" t="str" vm="172">
        <f>CUBEMEMBER("KRK HUO2 RH Statistika","[Measures].[Zaračunata bruto premija osiguranja- rizici]")</f>
        <v>Zaračunata bruto premija osiguranja- rizici</v>
      </c>
      <c r="I6" t="s">
        <v>71</v>
      </c>
      <c r="J6" t="s">
        <v>72</v>
      </c>
    </row>
    <row r="7" spans="1:10" x14ac:dyDescent="0.3">
      <c r="A7" s="2" t="str" vm="79">
        <f>CUBEMEMBER("KRK HUO2 RH Statistika","[Vrste osiguranja].[hSkupineVrsteOsiguranja].[Skupina osiguranja].&amp;[1]")</f>
        <v>Neživot</v>
      </c>
      <c r="C7" s="2" t="str" vm="40">
        <f>CUBEMEMBER("KRK HUO2 RH Statistika","[Rizici].[hSkupineRiziciOsiguranja].[Skupina osiguranja].&amp;[1]")</f>
        <v>Neživot</v>
      </c>
      <c r="F7" s="2" t="str" vm="40">
        <f>CUBEMEMBER("KRK HUO2 RH Statistika","[Rizici].[hSkupineRiziciOsiguranja].[Skupina osiguranja].&amp;[1]")</f>
        <v>Neživot</v>
      </c>
      <c r="G7" vm="209">
        <f t="shared" ref="G7:G54" si="0">CUBEVALUE("KRK HUO2 RH Statistika",$F7,G$6)</f>
        <v>148727582104.75873</v>
      </c>
      <c r="I7" t="s">
        <v>79</v>
      </c>
      <c r="J7" t="s">
        <v>90</v>
      </c>
    </row>
    <row r="8" spans="1:10" x14ac:dyDescent="0.3">
      <c r="A8" s="3" t="str" vm="72">
        <f>CUBEMEMBER("KRK HUO2 RH Statistika","[Vrste osiguranja].[hSkupineVrsteOsiguranja].[Vrsta osiguranja].&amp;[1]")</f>
        <v>01 OSIGURANJE OD NEZGODE</v>
      </c>
      <c r="C8" s="3" t="str" vm="48">
        <f>CUBEMEMBER("KRK HUO2 RH Statistika","[Rizici].[hSkupineRiziciOsiguranja].[Vrsta osiguranja].&amp;[1]")</f>
        <v>01 OSIGURANJE OD NEZGODE</v>
      </c>
      <c r="F8" s="3" t="str" vm="48">
        <f>CUBEMEMBER("KRK HUO2 RH Statistika","[Rizici].[hSkupineRiziciOsiguranja].[Vrsta osiguranja].&amp;[1]")</f>
        <v>01 OSIGURANJE OD NEZGODE</v>
      </c>
      <c r="G8" vm="210">
        <f t="shared" si="0"/>
        <v>11572012113.75997</v>
      </c>
      <c r="I8" t="s">
        <v>80</v>
      </c>
      <c r="J8" t="s">
        <v>91</v>
      </c>
    </row>
    <row r="9" spans="1:10" x14ac:dyDescent="0.3">
      <c r="A9" s="3" t="str" vm="65">
        <f>CUBEMEMBER("KRK HUO2 RH Statistika","[Vrste osiguranja].[hSkupineVrsteOsiguranja].[Vrsta osiguranja].&amp;[2]")</f>
        <v>02 ZDRAVSTVENO OSIGURANJE</v>
      </c>
      <c r="C9" s="5" t="str" vm="148">
        <f>CUBEMEMBER("KRK HUO2 RH Statistika","[Rizici].[hSkupineRiziciOsiguranja].[Rizik].&amp;[1]")</f>
        <v>01.01 OSIGURANJE OSOBA OD POSLJEDICA NEZGODE PRI I IZVAN REDOVNOG ZANIMANJA</v>
      </c>
      <c r="D9" s="10" t="s">
        <v>47</v>
      </c>
      <c r="F9" s="3" t="str" vm="45">
        <f>CUBEMEMBER("KRK HUO2 RH Statistika","[Rizici].[hSkupineRiziciOsiguranja].[Vrsta osiguranja].&amp;[2]")</f>
        <v>02 ZDRAVSTVENO OSIGURANJE</v>
      </c>
      <c r="G9" vm="208">
        <f t="shared" si="0"/>
        <v>5800064329.8600025</v>
      </c>
      <c r="I9" t="s">
        <v>81</v>
      </c>
      <c r="J9" t="s">
        <v>92</v>
      </c>
    </row>
    <row r="10" spans="1:10" x14ac:dyDescent="0.3">
      <c r="A10" s="3" t="str" vm="58">
        <f>CUBEMEMBER("KRK HUO2 RH Statistika","[Vrste osiguranja].[hSkupineVrsteOsiguranja].[Vrsta osiguranja].&amp;[3]")</f>
        <v>03 OSIGURANJE CESTOVNIH VOZILA - KASKO</v>
      </c>
      <c r="C10" s="5" t="str" vm="127">
        <f>CUBEMEMBER("KRK HUO2 RH Statistika","[Rizici].[hSkupineRiziciOsiguranja].[Rizik].&amp;[2]")</f>
        <v>01.02 OSIGURANJE OSOBA OD POSLJEDICA NEZGODE U MOTORNIM VOZILIMA I PRI POSEBNIM DJELATNOSTIMA</v>
      </c>
      <c r="D10" s="11" t="s">
        <v>48</v>
      </c>
      <c r="F10" s="3" t="str" vm="36">
        <f>CUBEMEMBER("KRK HUO2 RH Statistika","[Rizici].[hSkupineRiziciOsiguranja].[Vrsta osiguranja].&amp;[3]")</f>
        <v>03 OSIGURANJE CESTOVNIH VOZILA - KASKO</v>
      </c>
      <c r="G10" vm="211">
        <f t="shared" si="0"/>
        <v>19312254886.25</v>
      </c>
      <c r="I10" t="s">
        <v>82</v>
      </c>
      <c r="J10" t="s">
        <v>93</v>
      </c>
    </row>
    <row r="11" spans="1:10" x14ac:dyDescent="0.3">
      <c r="A11" s="3" t="str" vm="78">
        <f>CUBEMEMBER("KRK HUO2 RH Statistika","[Vrste osiguranja].[hSkupineVrsteOsiguranja].[Vrsta osiguranja].&amp;[4]")</f>
        <v>04 OSIGURANJE TRAČNIH VOZILA - KASKO</v>
      </c>
      <c r="C11" s="5" t="str" vm="100">
        <f>CUBEMEMBER("KRK HUO2 RH Statistika","[Rizici].[hSkupineRiziciOsiguranja].[Rizik].&amp;[3]")</f>
        <v>01.03 OSIGURANJE DJECE I ŠKOLSKE MLADEŽI OD POSLJEDICA NEZGODE I POS. OSIG. MLADEŽI OD POSLJEDICA NEZGODE</v>
      </c>
      <c r="D11" s="10" t="s">
        <v>49</v>
      </c>
      <c r="F11" s="3" t="str" vm="51">
        <f>CUBEMEMBER("KRK HUO2 RH Statistika","[Rizici].[hSkupineRiziciOsiguranja].[Vrsta osiguranja].&amp;[4]")</f>
        <v>04 OSIGURANJE TRAČNIH VOZILA - KASKO</v>
      </c>
      <c r="G11" vm="207">
        <f t="shared" si="0"/>
        <v>105733741.20999998</v>
      </c>
      <c r="I11" t="s">
        <v>83</v>
      </c>
      <c r="J11" t="s">
        <v>94</v>
      </c>
    </row>
    <row r="12" spans="1:10" x14ac:dyDescent="0.3">
      <c r="A12" s="3" t="str" vm="71">
        <f>CUBEMEMBER("KRK HUO2 RH Statistika","[Vrste osiguranja].[hSkupineVrsteOsiguranja].[Vrsta osiguranja].&amp;[5]")</f>
        <v>05 OSIGURANJE ZRAČNIH LETJELICA - KASKO</v>
      </c>
      <c r="C12" s="5" t="str" vm="171">
        <f>CUBEMEMBER("KRK HUO2 RH Statistika","[Rizici].[hSkupineRiziciOsiguranja].[Rizik].&amp;[4]")</f>
        <v>01.04 OSIGURANJE GOSTIJU, POSJETITELJA PRIREDBI, IZLETNIKA I TURISTA OD POSLJEDICA NEZGODE</v>
      </c>
      <c r="D12" s="11" t="s">
        <v>50</v>
      </c>
      <c r="F12" s="3" t="str" vm="38">
        <f>CUBEMEMBER("KRK HUO2 RH Statistika","[Rizici].[hSkupineRiziciOsiguranja].[Vrsta osiguranja].&amp;[5]")</f>
        <v>05 OSIGURANJE ZRAČNIH LETJELICA - KASKO</v>
      </c>
      <c r="G12" vm="212">
        <f t="shared" si="0"/>
        <v>326243044.30000043</v>
      </c>
      <c r="I12" t="s">
        <v>84</v>
      </c>
      <c r="J12" t="s">
        <v>95</v>
      </c>
    </row>
    <row r="13" spans="1:10" x14ac:dyDescent="0.3">
      <c r="A13" s="3" t="str" vm="64">
        <f>CUBEMEMBER("KRK HUO2 RH Statistika","[Vrste osiguranja].[hSkupineVrsteOsiguranja].[Vrsta osiguranja].&amp;[6]")</f>
        <v>06 OSIGURANJE PLOVILA</v>
      </c>
      <c r="C13" s="5" t="str" vm="147">
        <f>CUBEMEMBER("KRK HUO2 RH Statistika","[Rizici].[hSkupineRiziciOsiguranja].[Rizik].&amp;[5]")</f>
        <v>01.05 OSIGURANJE POTOŠAČA, PRETPLATNIKA, KORISNIKA DRUGIH JAVNIH USLUGA I SL. OD POSLJEDICA NEZGODE</v>
      </c>
      <c r="D13" s="10" t="s">
        <v>51</v>
      </c>
      <c r="F13" s="3" t="str" vm="44">
        <f>CUBEMEMBER("KRK HUO2 RH Statistika","[Rizici].[hSkupineRiziciOsiguranja].[Vrsta osiguranja].&amp;[6]")</f>
        <v>06 OSIGURANJE PLOVILA</v>
      </c>
      <c r="G13" vm="206">
        <f t="shared" si="0"/>
        <v>4468522988.5100012</v>
      </c>
      <c r="I13" t="s">
        <v>85</v>
      </c>
      <c r="J13" t="s">
        <v>96</v>
      </c>
    </row>
    <row r="14" spans="1:10" x14ac:dyDescent="0.3">
      <c r="A14" s="3" t="str" vm="57">
        <f>CUBEMEMBER("KRK HUO2 RH Statistika","[Vrste osiguranja].[hSkupineVrsteOsiguranja].[Vrsta osiguranja].&amp;[7]")</f>
        <v>07 OSIGURANJE ROBE U PRIJEVOZU</v>
      </c>
      <c r="C14" s="5" t="str" vm="126">
        <f>CUBEMEMBER("KRK HUO2 RH Statistika","[Rizici].[hSkupineRiziciOsiguranja].[Rizik].&amp;[6]")</f>
        <v>01.06 OSTALA POSEBNA OSIGURANJA OD POSLJEDICA NEZGODE</v>
      </c>
      <c r="D14" s="11" t="s">
        <v>52</v>
      </c>
      <c r="F14" s="3" t="str" vm="35">
        <f>CUBEMEMBER("KRK HUO2 RH Statistika","[Rizici].[hSkupineRiziciOsiguranja].[Vrsta osiguranja].&amp;[7]")</f>
        <v>07 OSIGURANJE ROBE U PRIJEVOZU</v>
      </c>
      <c r="G14" vm="213">
        <f t="shared" si="0"/>
        <v>1438141039.2499998</v>
      </c>
      <c r="I14" t="s">
        <v>97</v>
      </c>
      <c r="J14" t="s">
        <v>101</v>
      </c>
    </row>
    <row r="15" spans="1:10" x14ac:dyDescent="0.3">
      <c r="A15" s="3" t="str" vm="77">
        <f>CUBEMEMBER("KRK HUO2 RH Statistika","[Vrste osiguranja].[hSkupineVrsteOsiguranja].[Vrsta osiguranja].&amp;[8]")</f>
        <v>08 OSIGURANJE OD POŽARA I ELEMENTARNIH ŠTETA</v>
      </c>
      <c r="C15" s="5" t="str" vm="99">
        <f>CUBEMEMBER("KRK HUO2 RH Statistika","[Rizici].[hSkupineRiziciOsiguranja].[Rizik].&amp;[7]")</f>
        <v>01.07 OBVEZNO OSIGURANJE PUTNIKA U JAVNOM PRIJEVOZU OD POSLJEDICA NEZGODE</v>
      </c>
      <c r="D15" s="10" t="s">
        <v>53</v>
      </c>
      <c r="F15" s="3" t="str" vm="50">
        <f>CUBEMEMBER("KRK HUO2 RH Statistika","[Rizici].[hSkupineRiziciOsiguranja].[Vrsta osiguranja].&amp;[8]")</f>
        <v>08 OSIGURANJE OD POŽARA I ELEMENTARNIH ŠTETA</v>
      </c>
      <c r="G15" vm="205">
        <f t="shared" si="0"/>
        <v>12731854752.269995</v>
      </c>
      <c r="I15" t="s">
        <v>98</v>
      </c>
      <c r="J15" s="1" t="s">
        <v>102</v>
      </c>
    </row>
    <row r="16" spans="1:10" x14ac:dyDescent="0.3">
      <c r="A16" s="3" t="str" vm="70">
        <f>CUBEMEMBER("KRK HUO2 RH Statistika","[Vrste osiguranja].[hSkupineVrsteOsiguranja].[Vrsta osiguranja].&amp;[9]")</f>
        <v>09 OSTALA OSIGURANJA IMOVINE</v>
      </c>
      <c r="C16" s="5" t="str" vm="170">
        <f>CUBEMEMBER("KRK HUO2 RH Statistika","[Rizici].[hSkupineRiziciOsiguranja].[Rizik].&amp;[8]")</f>
        <v>01.99 OSTALA OSIGURANJA OD POSLJEDICA NEZGODE</v>
      </c>
      <c r="D16" s="11" t="s">
        <v>54</v>
      </c>
      <c r="F16" s="3" t="str" vm="47">
        <f>CUBEMEMBER("KRK HUO2 RH Statistika","[Rizici].[hSkupineRiziciOsiguranja].[Vrsta osiguranja].&amp;[9]")</f>
        <v>09 OSTALA OSIGURANJA IMOVINE</v>
      </c>
      <c r="G16" vm="214">
        <f t="shared" si="0"/>
        <v>16131170269.12002</v>
      </c>
      <c r="I16" t="s">
        <v>99</v>
      </c>
      <c r="J16" s="1" t="s">
        <v>103</v>
      </c>
    </row>
    <row r="17" spans="1:10" x14ac:dyDescent="0.3">
      <c r="A17" s="3" t="str" vm="63">
        <f>CUBEMEMBER("KRK HUO2 RH Statistika","[Vrste osiguranja].[hSkupineVrsteOsiguranja].[Vrsta osiguranja].&amp;[10]")</f>
        <v>10 OSIGURANJE OD ODGOVORNOSTI ZA UPOTREBU MOTORNIH VOZILA</v>
      </c>
      <c r="C17" s="3" t="str" vm="48">
        <f>CUBEMEMBER("KRK HUO2 RH Statistika","[Rizici].[hSkupineRiziciOsiguranja].[Vrsta osiguranja].&amp;[1]")</f>
        <v>01 OSIGURANJE OD NEZGODE</v>
      </c>
      <c r="D17" s="12" t="s">
        <v>55</v>
      </c>
      <c r="F17" s="3" t="str" vm="43">
        <f>CUBEMEMBER("KRK HUO2 RH Statistika","[Rizici].[hSkupineRiziciOsiguranja].[Vrsta osiguranja].&amp;[10]")</f>
        <v>10 OSIGURANJE OD ODGOVORNOSTI ZA UPOTREBU MOTORNIH VOZILA</v>
      </c>
      <c r="G17" vm="204">
        <f t="shared" si="0"/>
        <v>63704738498.900047</v>
      </c>
      <c r="I17" t="s">
        <v>100</v>
      </c>
      <c r="J17" s="1" t="s">
        <v>104</v>
      </c>
    </row>
    <row r="18" spans="1:10" x14ac:dyDescent="0.3">
      <c r="A18" s="3" t="str" vm="56">
        <f>CUBEMEMBER("KRK HUO2 RH Statistika","[Vrste osiguranja].[hSkupineVrsteOsiguranja].[Vrsta osiguranja].&amp;[11]")</f>
        <v>11 OSIGURANJE OD ODGOVORNOSTI ZA UPOTREBU ZRAČNIH LETJELICA</v>
      </c>
      <c r="C18" s="3" t="str" vm="45">
        <f>CUBEMEMBER("KRK HUO2 RH Statistika","[Rizici].[hSkupineRiziciOsiguranja].[Vrsta osiguranja].&amp;[2]")</f>
        <v>02 ZDRAVSTVENO OSIGURANJE</v>
      </c>
      <c r="D18" s="13" t="s">
        <v>56</v>
      </c>
      <c r="F18" s="3" t="str" vm="34">
        <f>CUBEMEMBER("KRK HUO2 RH Statistika","[Rizici].[hSkupineRiziciOsiguranja].[Vrsta osiguranja].&amp;[11]")</f>
        <v>11 OSIGURANJE OD ODGOVORNOSTI ZA UPOTREBU ZRAČNIH LETJELICA</v>
      </c>
      <c r="G18" vm="215">
        <f t="shared" si="0"/>
        <v>88394429.839999899</v>
      </c>
    </row>
    <row r="19" spans="1:10" x14ac:dyDescent="0.3">
      <c r="A19" s="3" t="str" vm="76">
        <f>CUBEMEMBER("KRK HUO2 RH Statistika","[Vrste osiguranja].[hSkupineVrsteOsiguranja].[Vrsta osiguranja].&amp;[12]")</f>
        <v>12 OSIGURANJE OD ODGOVORNOSTI ZA UPOTREBU PLOVILA</v>
      </c>
      <c r="C19" s="5" t="str" vm="125">
        <f>CUBEMEMBER("KRK HUO2 RH Statistika","[Rizici].[hSkupineRiziciOsiguranja].[Rizik].&amp;[9]")</f>
        <v>02.01 OBVEZNO OSIG. NAKNADE TROŠKOVA ZA SLUČAJ OZLJEDE NA RADU I PROF. BOL.</v>
      </c>
      <c r="D19" s="12" t="s">
        <v>57</v>
      </c>
      <c r="F19" s="3" t="str" vm="39">
        <f>CUBEMEMBER("KRK HUO2 RH Statistika","[Rizici].[hSkupineRiziciOsiguranja].[Vrsta osiguranja].&amp;[12]")</f>
        <v>12 OSIGURANJE OD ODGOVORNOSTI ZA UPOTREBU PLOVILA</v>
      </c>
      <c r="G19" vm="203">
        <f t="shared" si="0"/>
        <v>875047101.05000043</v>
      </c>
    </row>
    <row r="20" spans="1:10" x14ac:dyDescent="0.3">
      <c r="A20" s="3" t="str" vm="69">
        <f>CUBEMEMBER("KRK HUO2 RH Statistika","[Vrste osiguranja].[hSkupineVrsteOsiguranja].[Vrsta osiguranja].&amp;[13]")</f>
        <v>13 OSTALA OSIGURANJA OD ODGOVORNOSTI</v>
      </c>
      <c r="C20" s="5" t="str" vm="98">
        <f>CUBEMEMBER("KRK HUO2 RH Statistika","[Rizici].[hSkupineRiziciOsiguranja].[Rizik].&amp;[10]")</f>
        <v>02.02 DOPUNSKO OSIG. RAZLIKE IZNAD VRIJEDNOSTI ZDRAV. USLUGA OBV. ZDR. OS.</v>
      </c>
      <c r="D20" s="13" t="s">
        <v>58</v>
      </c>
      <c r="F20" s="3" t="str" vm="37">
        <f>CUBEMEMBER("KRK HUO2 RH Statistika","[Rizici].[hSkupineRiziciOsiguranja].[Vrsta osiguranja].&amp;[13]")</f>
        <v>13 OSTALA OSIGURANJA OD ODGOVORNOSTI</v>
      </c>
      <c r="G20" vm="216">
        <f t="shared" si="0"/>
        <v>6314021330.4799833</v>
      </c>
    </row>
    <row r="21" spans="1:10" x14ac:dyDescent="0.3">
      <c r="A21" s="3" t="str" vm="62">
        <f>CUBEMEMBER("KRK HUO2 RH Statistika","[Vrste osiguranja].[hSkupineVrsteOsiguranja].[Vrsta osiguranja].&amp;[14]")</f>
        <v>14 OSIGURANJE KREDITA</v>
      </c>
      <c r="C21" s="5" t="str" vm="169">
        <f>CUBEMEMBER("KRK HUO2 RH Statistika","[Rizici].[hSkupineRiziciOsiguranja].[Rizik].&amp;[12]")</f>
        <v>02.04 DOP. ZDR. OS. VEĆEGA STANDARDA ZDR. USLUGA OD ODREĐENOG ZAKONOM O ZD.O</v>
      </c>
      <c r="D21" s="12" t="s">
        <v>59</v>
      </c>
      <c r="F21" s="3" t="str" vm="42">
        <f>CUBEMEMBER("KRK HUO2 RH Statistika","[Rizici].[hSkupineRiziciOsiguranja].[Vrsta osiguranja].&amp;[14]")</f>
        <v>14 OSIGURANJE KREDITA</v>
      </c>
      <c r="G21" vm="202">
        <f t="shared" si="0"/>
        <v>2878540238.8299994</v>
      </c>
    </row>
    <row r="22" spans="1:10" x14ac:dyDescent="0.3">
      <c r="A22" s="3" t="str" vm="55">
        <f>CUBEMEMBER("KRK HUO2 RH Statistika","[Vrste osiguranja].[hSkupineVrsteOsiguranja].[Vrsta osiguranja].&amp;[15]")</f>
        <v>15 OSIGURANJE JAMSTVA</v>
      </c>
      <c r="C22" s="5" t="str" vm="146">
        <f>CUBEMEMBER("KRK HUO2 RH Statistika","[Rizici].[hSkupineRiziciOsiguranja].[Rizik].&amp;[14]")</f>
        <v>02.06 PRIVATNO ZDRAVSTVENO OSIGURANJE</v>
      </c>
      <c r="D22" s="10" t="s">
        <v>60</v>
      </c>
      <c r="F22" s="3" t="str" vm="33">
        <f>CUBEMEMBER("KRK HUO2 RH Statistika","[Rizici].[hSkupineRiziciOsiguranja].[Vrsta osiguranja].&amp;[15]")</f>
        <v>15 OSIGURANJE JAMSTVA</v>
      </c>
      <c r="G22" vm="217">
        <f t="shared" si="0"/>
        <v>116082901.20000002</v>
      </c>
    </row>
    <row r="23" spans="1:10" x14ac:dyDescent="0.3">
      <c r="A23" s="3" t="str" vm="75">
        <f>CUBEMEMBER("KRK HUO2 RH Statistika","[Vrste osiguranja].[hSkupineVrsteOsiguranja].[Vrsta osiguranja].&amp;[16]")</f>
        <v>16 OSIGURANJE RAZNIH FINANCIJSKIH GUBITAKA</v>
      </c>
      <c r="C23" s="5" t="str" vm="124">
        <f>CUBEMEMBER("KRK HUO2 RH Statistika","[Rizici].[hSkupineRiziciOsiguranja].[Rizik].&amp;[15]")</f>
        <v>02.99 OSTALA DRAGOVOLJNA ZDRAVSTVENA OSIGURANJA</v>
      </c>
      <c r="F23" s="3" t="str" vm="49">
        <f>CUBEMEMBER("KRK HUO2 RH Statistika","[Rizici].[hSkupineRiziciOsiguranja].[Vrsta osiguranja].&amp;[16]")</f>
        <v>16 OSIGURANJE RAZNIH FINANCIJSKIH GUBITAKA</v>
      </c>
      <c r="G23" vm="201">
        <f t="shared" si="0"/>
        <v>1795744004.8399997</v>
      </c>
    </row>
    <row r="24" spans="1:10" x14ac:dyDescent="0.3">
      <c r="A24" s="3" t="str" vm="68">
        <f>CUBEMEMBER("KRK HUO2 RH Statistika","[Vrste osiguranja].[hSkupineVrsteOsiguranja].[Vrsta osiguranja].&amp;[17]")</f>
        <v>17 OSIGURANJE TROŠKOVA PRAVNE ZAŠTITE</v>
      </c>
      <c r="C24" s="3" t="str" vm="45">
        <f>CUBEMEMBER("KRK HUO2 RH Statistika","[Rizici].[hSkupineRiziciOsiguranja].[Vrsta osiguranja].&amp;[2]")</f>
        <v>02 ZDRAVSTVENO OSIGURANJE</v>
      </c>
      <c r="F24" s="3" t="str" vm="46">
        <f>CUBEMEMBER("KRK HUO2 RH Statistika","[Rizici].[hSkupineRiziciOsiguranja].[Vrsta osiguranja].&amp;[17]")</f>
        <v>17 OSIGURANJE TROŠKOVA PRAVNE ZAŠTITE</v>
      </c>
      <c r="G24" vm="218">
        <f t="shared" si="0"/>
        <v>73313530.469999999</v>
      </c>
    </row>
    <row r="25" spans="1:10" x14ac:dyDescent="0.3">
      <c r="A25" s="3" t="str" vm="61">
        <f>CUBEMEMBER("KRK HUO2 RH Statistika","[Vrste osiguranja].[hSkupineVrsteOsiguranja].[Vrsta osiguranja].&amp;[18]")</f>
        <v>18 PUTNO OSIGURANJE</v>
      </c>
      <c r="C25" s="3" t="str" vm="36">
        <f>CUBEMEMBER("KRK HUO2 RH Statistika","[Rizici].[hSkupineRiziciOsiguranja].[Vrsta osiguranja].&amp;[3]")</f>
        <v>03 OSIGURANJE CESTOVNIH VOZILA - KASKO</v>
      </c>
      <c r="F25" s="3" t="str" vm="41">
        <f>CUBEMEMBER("KRK HUO2 RH Statistika","[Rizici].[hSkupineRiziciOsiguranja].[Vrsta osiguranja].&amp;[18]")</f>
        <v>18 PUTNO OSIGURANJE</v>
      </c>
      <c r="G25" vm="200">
        <f t="shared" si="0"/>
        <v>995702904.61999929</v>
      </c>
    </row>
    <row r="26" spans="1:10" x14ac:dyDescent="0.3">
      <c r="A26" s="2" t="str" vm="54">
        <f>CUBEMEMBER("KRK HUO2 RH Statistika","[Vrste osiguranja].[hSkupineVrsteOsiguranja].[Skupina osiguranja].&amp;[2]")</f>
        <v>Život</v>
      </c>
      <c r="C26" s="5" t="str" vm="168">
        <f>CUBEMEMBER("KRK HUO2 RH Statistika","[Rizici].[hSkupineRiziciOsiguranja].[Rizik].&amp;[16]")</f>
        <v>03.01 KASKO OSIGURANJE CESTOVNIH MOTORNIH VOZILA NA VLASTITI POGON</v>
      </c>
      <c r="F26" s="2" t="str" vm="32">
        <f>CUBEMEMBER("KRK HUO2 RH Statistika","[Rizici].[hSkupineRiziciOsiguranja].[Skupina osiguranja].&amp;[2]")</f>
        <v>Život</v>
      </c>
      <c r="G26" vm="219">
        <f t="shared" si="0"/>
        <v>56166338355.490013</v>
      </c>
    </row>
    <row r="27" spans="1:10" x14ac:dyDescent="0.3">
      <c r="A27" s="3" t="str" vm="74">
        <f>CUBEMEMBER("KRK HUO2 RH Statistika","[Vrste osiguranja].[hSkupineVrsteOsiguranja].[Vrsta osiguranja].&amp;[19]")</f>
        <v>19 ŽIVOTNO OSIGURANJE</v>
      </c>
      <c r="C27" s="5" t="str" vm="145">
        <f>CUBEMEMBER("KRK HUO2 RH Statistika","[Rizici].[hSkupineRiziciOsiguranja].[Rizik].&amp;[17]")</f>
        <v>03.02 KASKO OSIGURANJE CESTOVNIH VOZILA BEZ VLASTITOG POGONA</v>
      </c>
      <c r="F27" s="3" t="str" vm="199">
        <f>CUBEMEMBER("KRK HUO2 RH Statistika","[Rizici].[hSkupineRiziciOsiguranja].[Vrsta osiguranja].&amp;[19]")</f>
        <v>19 ŽIVOTNO OSIGURANJE</v>
      </c>
      <c r="G27" vm="247">
        <f t="shared" si="0"/>
        <v>48376451859.39006</v>
      </c>
    </row>
    <row r="28" spans="1:10" x14ac:dyDescent="0.3">
      <c r="A28" s="3" t="str" vm="67">
        <f>CUBEMEMBER("KRK HUO2 RH Statistika","[Vrste osiguranja].[hSkupineVrsteOsiguranja].[Vrsta osiguranja].&amp;[20]")</f>
        <v>20 RENTNO OSIGURANJE</v>
      </c>
      <c r="C28" s="5" t="str" vm="123">
        <f>CUBEMEMBER("KRK HUO2 RH Statistika","[Rizici].[hSkupineRiziciOsiguranja].[Rizik].&amp;[18]")</f>
        <v>03.99 OSTALA KASKO OSIGURANJA CESTOVNIH VOZILA</v>
      </c>
      <c r="F28" s="5" t="str" vm="185">
        <f>CUBEMEMBER("KRK HUO2 RH Statistika","[Rizici].[hSkupineRiziciOsiguranja].[Rizik].&amp;[96]")</f>
        <v>19.01 OSIGURANJE ŽIVOTA ZA SLUČAJ SMRTI I DOŽIVLJENJA (MJEŠOVITO OSIGURANJE)</v>
      </c>
      <c r="G28" vm="233">
        <f t="shared" si="0"/>
        <v>41077036931.520012</v>
      </c>
    </row>
    <row r="29" spans="1:10" x14ac:dyDescent="0.3">
      <c r="A29" s="3" t="str" vm="60">
        <f>CUBEMEMBER("KRK HUO2 RH Statistika","[Vrste osiguranja].[hSkupineVrsteOsiguranja].[Vrsta osiguranja].&amp;[21]")</f>
        <v>21 DOPUNSKA OSIGURANJA ŽIVOTNOG OSIGURANJA</v>
      </c>
      <c r="C29" s="3" t="str" vm="51">
        <f>CUBEMEMBER("KRK HUO2 RH Statistika","[Rizici].[hSkupineRiziciOsiguranja].[Vrsta osiguranja].&amp;[4]")</f>
        <v>04 OSIGURANJE TRAČNIH VOZILA - KASKO</v>
      </c>
      <c r="F29" s="5" t="str" vm="198">
        <f>CUBEMEMBER("KRK HUO2 RH Statistika","[Rizici].[hSkupineRiziciOsiguranja].[Rizik].&amp;[97]")</f>
        <v>19.02 OSIGURANJE ZA SLUČAJ SMRTI</v>
      </c>
      <c r="G29" vm="246">
        <f t="shared" si="0"/>
        <v>1657237170.789999</v>
      </c>
    </row>
    <row r="30" spans="1:10" x14ac:dyDescent="0.3">
      <c r="A30" s="3" t="str" vm="53">
        <f>CUBEMEMBER("KRK HUO2 RH Statistika","[Vrste osiguranja].[hSkupineVrsteOsiguranja].[Vrsta osiguranja].&amp;[22]")</f>
        <v>22 OSIGURANJE ZA SLUČAJ VJENČANJA ILI ROĐENJA</v>
      </c>
      <c r="C30" s="5" t="str" vm="167">
        <f>CUBEMEMBER("KRK HUO2 RH Statistika","[Rizici].[hSkupineRiziciOsiguranja].[Rizik].&amp;[19]")</f>
        <v>04.01 KASKO OSIGURANJE TRAČNIH VOZILA</v>
      </c>
      <c r="F30" s="5" t="str" vm="184">
        <f>CUBEMEMBER("KRK HUO2 RH Statistika","[Rizici].[hSkupineRiziciOsiguranja].[Rizik].&amp;[98]")</f>
        <v>19.03 OSIGURANJE ZA SLUČAJ DOŽIVLJENJA</v>
      </c>
      <c r="G30" vm="232">
        <f t="shared" si="0"/>
        <v>1341431065.9499996</v>
      </c>
    </row>
    <row r="31" spans="1:10" x14ac:dyDescent="0.3">
      <c r="A31" s="3" t="str" vm="73">
        <f>CUBEMEMBER("KRK HUO2 RH Statistika","[Vrste osiguranja].[hSkupineVrsteOsiguranja].[Vrsta osiguranja].&amp;[23]")</f>
        <v>23 ŽIVOTNA ILI RENTNA OSIGURANJA KOD KOJIH UGOVARATELJ OSIGURANJA SNOSI RIZIK ULAGANJA</v>
      </c>
      <c r="C31" s="3" t="str" vm="38">
        <f>CUBEMEMBER("KRK HUO2 RH Statistika","[Rizici].[hSkupineRiziciOsiguranja].[Vrsta osiguranja].&amp;[5]")</f>
        <v>05 OSIGURANJE ZRAČNIH LETJELICA - KASKO</v>
      </c>
      <c r="F31" s="5" t="str" vm="197">
        <f>CUBEMEMBER("KRK HUO2 RH Statistika","[Rizici].[hSkupineRiziciOsiguranja].[Rizik].&amp;[99]")</f>
        <v>19.04 DOŽIVOTNO OSIGURANJE ZA SLUČAJ SMRTI</v>
      </c>
      <c r="G31" vm="245">
        <f t="shared" si="0"/>
        <v>1683740608.48</v>
      </c>
    </row>
    <row r="32" spans="1:10" x14ac:dyDescent="0.3">
      <c r="A32" s="3" t="str" vm="66">
        <f>CUBEMEMBER("KRK HUO2 RH Statistika","[Vrste osiguranja].[hSkupineVrsteOsiguranja].[Vrsta osiguranja].&amp;[24]")</f>
        <v>24 TONTINE</v>
      </c>
      <c r="C32" s="5" t="str" vm="122">
        <f>CUBEMEMBER("KRK HUO2 RH Statistika","[Rizici].[hSkupineRiziciOsiguranja].[Rizik].&amp;[20]")</f>
        <v>05.01 KASKO OSIGURANJE ZRAČNIH LETJELICA</v>
      </c>
      <c r="F32" s="5" t="str" vm="183">
        <f>CUBEMEMBER("KRK HUO2 RH Statistika","[Rizici].[hSkupineRiziciOsiguranja].[Rizik].&amp;[100]")</f>
        <v>19.05 OSIGURANJE KRITIČNIH BOLESTI</v>
      </c>
      <c r="G32" vm="231">
        <f t="shared" si="0"/>
        <v>2077846721.2800007</v>
      </c>
    </row>
    <row r="33" spans="1:7" x14ac:dyDescent="0.3">
      <c r="A33" s="3" t="str" vm="59">
        <f>CUBEMEMBER("KRK HUO2 RH Statistika","[Vrste osiguranja].[hSkupineVrsteOsiguranja].[Vrsta osiguranja].&amp;[25]")</f>
        <v>25 OSIGURANJE S KAPITALIZACIJOM</v>
      </c>
      <c r="C33" s="5" t="str" vm="97">
        <f>CUBEMEMBER("KRK HUO2 RH Statistika","[Rizici].[hSkupineRiziciOsiguranja].[Rizik].&amp;[21]")</f>
        <v>05.02 KASKO OSIGURANJE ZRAČNIH PLOVILA</v>
      </c>
      <c r="F33" s="5" t="str" vm="196">
        <f>CUBEMEMBER("KRK HUO2 RH Statistika","[Rizici].[hSkupineRiziciOsiguranja].[Rizik].&amp;[108]")</f>
        <v>19.99 OSTALA OSIGURANJA ŽIVOTA</v>
      </c>
      <c r="G33" vm="244">
        <f t="shared" si="0"/>
        <v>539159361.37000012</v>
      </c>
    </row>
    <row r="34" spans="1:7" x14ac:dyDescent="0.3">
      <c r="A34" s="2" t="str" vm="52">
        <f>CUBEMEMBER("KRK HUO2 RH Statistika","[Vrste osiguranja].[hSkupineVrsteOsiguranja].[Sve]","Grand Total")</f>
        <v>Grand Total</v>
      </c>
      <c r="C34" s="3" t="str" vm="44">
        <f>CUBEMEMBER("KRK HUO2 RH Statistika","[Rizici].[hSkupineRiziciOsiguranja].[Vrsta osiguranja].&amp;[6]")</f>
        <v>06 OSIGURANJE PLOVILA</v>
      </c>
      <c r="F34" s="3" t="str" vm="182">
        <f>CUBEMEMBER("KRK HUO2 RH Statistika","[Rizici].[hSkupineRiziciOsiguranja].[Vrsta osiguranja].&amp;[20]")</f>
        <v>20 RENTNO OSIGURANJE</v>
      </c>
      <c r="G34" vm="230">
        <f t="shared" si="0"/>
        <v>221541066.03</v>
      </c>
    </row>
    <row r="35" spans="1:7" x14ac:dyDescent="0.3">
      <c r="C35" s="5" t="str" vm="144">
        <f>CUBEMEMBER("KRK HUO2 RH Statistika","[Rizici].[hSkupineRiziciOsiguranja].[Rizik].&amp;[22]")</f>
        <v>06.01 KASKO OSIGURANJE BRODOVA I BRODICA U POMORSKOJ PLOVIDBI</v>
      </c>
      <c r="F35" s="5" t="str" vm="195">
        <f>CUBEMEMBER("KRK HUO2 RH Statistika","[Rizici].[hSkupineRiziciOsiguranja].[Rizik].&amp;[109]")</f>
        <v>20.01 OSIGURANJE OSOBNE DOŽIVOTNE RENTE</v>
      </c>
      <c r="G35" vm="243">
        <f t="shared" si="0"/>
        <v>137219108.59000003</v>
      </c>
    </row>
    <row r="36" spans="1:7" x14ac:dyDescent="0.3">
      <c r="C36" s="5" t="str" vm="121">
        <f>CUBEMEMBER("KRK HUO2 RH Statistika","[Rizici].[hSkupineRiziciOsiguranja].[Rizik].&amp;[23]")</f>
        <v>06.02 KASKO OSIGURANJE BRODOVA I ČAMACA U RIJEČNOJ PLOVIDBI</v>
      </c>
      <c r="F36" s="5" t="str" vm="181">
        <f>CUBEMEMBER("KRK HUO2 RH Statistika","[Rizici].[hSkupineRiziciOsiguranja].[Rizik].&amp;[110]")</f>
        <v>20.02 OSIGURANJE OSOBNE RENTE S ODREĐENIM TRAJANJEM</v>
      </c>
      <c r="G36" vm="229">
        <f t="shared" si="0"/>
        <v>81316964.540000007</v>
      </c>
    </row>
    <row r="37" spans="1:7" x14ac:dyDescent="0.3">
      <c r="C37" s="5" t="str" vm="96">
        <f>CUBEMEMBER("KRK HUO2 RH Statistika","[Rizici].[hSkupineRiziciOsiguranja].[Rizik].&amp;[24]")</f>
        <v>06.03 KASKO OSIGURANJE BRODOVA I ČAMACA U JEZERSKOJ PLOVIDBI</v>
      </c>
      <c r="F37" s="5" t="str" vm="194">
        <f>CUBEMEMBER("KRK HUO2 RH Statistika","[Rizici].[hSkupineRiziciOsiguranja].[Rizik].&amp;[111]")</f>
        <v>20.99 OSTALA RENTNA OSIGURANJA</v>
      </c>
      <c r="G37" vm="242">
        <f t="shared" si="0"/>
        <v>3004992.9</v>
      </c>
    </row>
    <row r="38" spans="1:7" x14ac:dyDescent="0.3">
      <c r="C38" s="5" t="str" vm="166">
        <f>CUBEMEMBER("KRK HUO2 RH Statistika","[Rizici].[hSkupineRiziciOsiguranja].[Rizik].&amp;[25]")</f>
        <v>06.04 KASKO OSIGURANJE BRODOVA U IZGRADNJI</v>
      </c>
      <c r="F38" s="3" t="str" vm="180">
        <f>CUBEMEMBER("KRK HUO2 RH Statistika","[Rizici].[hSkupineRiziciOsiguranja].[Vrsta osiguranja].&amp;[21]")</f>
        <v>21 DOPUNSKA OSIGURANJA ŽIVOTNOG OSIGURANJA</v>
      </c>
      <c r="G38" vm="228">
        <f t="shared" si="0"/>
        <v>3598885320.150002</v>
      </c>
    </row>
    <row r="39" spans="1:7" x14ac:dyDescent="0.3">
      <c r="C39" s="5" t="str" vm="143">
        <f>CUBEMEMBER("KRK HUO2 RH Statistika","[Rizici].[hSkupineRiziciOsiguranja].[Rizik].&amp;[26]")</f>
        <v>06.05 KASKO OSIGURANJE PLATFORMI</v>
      </c>
      <c r="F39" s="5" t="str" vm="193">
        <f>CUBEMEMBER("KRK HUO2 RH Statistika","[Rizici].[hSkupineRiziciOsiguranja].[Rizik].&amp;[112]")</f>
        <v>21.01 DOPUNSKO OSIGURANJE OD POSLJEDICA NEZGODE UZ OSIGURANJE ŽIVOTA</v>
      </c>
      <c r="G39" vm="241">
        <f t="shared" si="0"/>
        <v>3343284503.4499998</v>
      </c>
    </row>
    <row r="40" spans="1:7" x14ac:dyDescent="0.3">
      <c r="C40" s="5" t="str" vm="120">
        <f>CUBEMEMBER("KRK HUO2 RH Statistika","[Rizici].[hSkupineRiziciOsiguranja].[Rizik].&amp;[27]")</f>
        <v>06.99 OSTALA KASKO OSIGURANJA PLOVILA</v>
      </c>
      <c r="F40" s="5" t="str" vm="179">
        <f>CUBEMEMBER("KRK HUO2 RH Statistika","[Rizici].[hSkupineRiziciOsiguranja].[Rizik].&amp;[113]")</f>
        <v>21.02 DOPUNSKO ZDRAVSTVENO OSIGURANJE UZ OSIGURANJE ŽIVOTA</v>
      </c>
      <c r="G40" vm="227">
        <f t="shared" si="0"/>
        <v>12749636.310000002</v>
      </c>
    </row>
    <row r="41" spans="1:7" x14ac:dyDescent="0.3">
      <c r="C41" s="3" t="str" vm="35">
        <f>CUBEMEMBER("KRK HUO2 RH Statistika","[Rizici].[hSkupineRiziciOsiguranja].[Vrsta osiguranja].&amp;[7]")</f>
        <v>07 OSIGURANJE ROBE U PRIJEVOZU</v>
      </c>
      <c r="F41" s="5" t="str" vm="192">
        <f>CUBEMEMBER("KRK HUO2 RH Statistika","[Rizici].[hSkupineRiziciOsiguranja].[Rizik].&amp;[114]")</f>
        <v>21.99 OSTALA DOPUNSKA OSIGURANJA UZ OSIGURANJE ŽIVOTA</v>
      </c>
      <c r="G41" vm="240">
        <f t="shared" si="0"/>
        <v>242851180.38999993</v>
      </c>
    </row>
    <row r="42" spans="1:7" x14ac:dyDescent="0.3">
      <c r="C42" s="5" t="str" vm="165">
        <f>CUBEMEMBER("KRK HUO2 RH Statistika","[Rizici].[hSkupineRiziciOsiguranja].[Rizik].&amp;[28]")</f>
        <v>07.01 OSIGURANJE ROBE U POMORSKOM PRIJEVOZU</v>
      </c>
      <c r="F42" s="3" t="str" vm="178">
        <f>CUBEMEMBER("KRK HUO2 RH Statistika","[Rizici].[hSkupineRiziciOsiguranja].[Vrsta osiguranja].&amp;[22]")</f>
        <v>22 OSIGURANJE ZA SLUČAJ VJENČANJA ILI ROĐENJA</v>
      </c>
      <c r="G42" vm="226">
        <f t="shared" si="0"/>
        <v>207765512.06999987</v>
      </c>
    </row>
    <row r="43" spans="1:7" x14ac:dyDescent="0.3">
      <c r="C43" s="5" t="str" vm="142">
        <f>CUBEMEMBER("KRK HUO2 RH Statistika","[Rizici].[hSkupineRiziciOsiguranja].[Rizik].&amp;[29]")</f>
        <v>07.02 OSIGURANJE ROBE U AVIONSKOM PRIJEVOZU</v>
      </c>
      <c r="F43" s="5" t="str" vm="191">
        <f>CUBEMEMBER("KRK HUO2 RH Statistika","[Rizici].[hSkupineRiziciOsiguranja].[Rizik].&amp;[115]")</f>
        <v>22.01 OSIGURANJE ZA SLUČAJ VJENČANJA ILI ROĐENJA</v>
      </c>
      <c r="G43" vm="239">
        <f t="shared" si="0"/>
        <v>207765512.06999987</v>
      </c>
    </row>
    <row r="44" spans="1:7" x14ac:dyDescent="0.3">
      <c r="C44" s="5" t="str" vm="119">
        <f>CUBEMEMBER("KRK HUO2 RH Statistika","[Rizici].[hSkupineRiziciOsiguranja].[Rizik].&amp;[30]")</f>
        <v>07.03 OSIGURANJE ROBE U KOPNENOM PRIJEVOZU</v>
      </c>
      <c r="F44" s="3" t="str" vm="177">
        <f>CUBEMEMBER("KRK HUO2 RH Statistika","[Rizici].[hSkupineRiziciOsiguranja].[Vrsta osiguranja].&amp;[23]")</f>
        <v>23 ŽIVOTNA ILI RENTNA OSIGURANJA KOD KOJIH UGOVARATELJ OSIGURANJA SNOSI RIZIK ULAGANJA</v>
      </c>
      <c r="G44" vm="225">
        <f t="shared" si="0"/>
        <v>3761694597.8500004</v>
      </c>
    </row>
    <row r="45" spans="1:7" x14ac:dyDescent="0.3">
      <c r="C45" s="5" t="str" vm="95">
        <f>CUBEMEMBER("KRK HUO2 RH Statistika","[Rizici].[hSkupineRiziciOsiguranja].[Rizik].&amp;[31]")</f>
        <v>07.04 OSIGURANJE ROBE ZA VRIJEME USKLADIŠTENJA</v>
      </c>
      <c r="F45" s="5" t="str" vm="190">
        <f>CUBEMEMBER("KRK HUO2 RH Statistika","[Rizici].[hSkupineRiziciOsiguranja].[Rizik].&amp;[116]")</f>
        <v>23.01 OSIG. ŽIVOTA ZA SLUČAJ SMRTI I DOŽIVLJENJA KOD KOJEG OSIGURANIK NA SEBE PREUZIMA INV. RIZIK</v>
      </c>
      <c r="G45" vm="238">
        <f t="shared" si="0"/>
        <v>1858476506.7600002</v>
      </c>
    </row>
    <row r="46" spans="1:7" x14ac:dyDescent="0.3">
      <c r="C46" s="5" t="str" vm="164">
        <f>CUBEMEMBER("KRK HUO2 RH Statistika","[Rizici].[hSkupineRiziciOsiguranja].[Rizik].&amp;[32]")</f>
        <v>07.99 OSTALA OSIGURANJA ROBE U PRIJEVOZU</v>
      </c>
      <c r="F46" s="5" t="str" vm="176">
        <f>CUBEMEMBER("KRK HUO2 RH Statistika","[Rizici].[hSkupineRiziciOsiguranja].[Rizik].&amp;[117]")</f>
        <v>23.02 OSIGURANJE ZA SLUČAJ SMRTI KOD KOJEG OSIGURANIK NA SEBE PREUZIMA INVESTICIJSKI RIZIK</v>
      </c>
      <c r="G46" vm="224">
        <f t="shared" si="0"/>
        <v>32252487.840000004</v>
      </c>
    </row>
    <row r="47" spans="1:7" x14ac:dyDescent="0.3">
      <c r="C47" s="3" t="str" vm="50">
        <f>CUBEMEMBER("KRK HUO2 RH Statistika","[Rizici].[hSkupineRiziciOsiguranja].[Vrsta osiguranja].&amp;[8]")</f>
        <v>08 OSIGURANJE OD POŽARA I ELEMENTARNIH ŠTETA</v>
      </c>
      <c r="F47" s="5" t="str" vm="189">
        <f>CUBEMEMBER("KRK HUO2 RH Statistika","[Rizici].[hSkupineRiziciOsiguranja].[Rizik].&amp;[118]")</f>
        <v>23.03 OSIGURANJE ZA SLUČAJ DOŽIVLJENJA KOD KOJEG OSIGURANIK NA SEBE PREUZIMA INVESTICIJSKI RIZIK</v>
      </c>
      <c r="G47" vm="237">
        <f t="shared" si="0"/>
        <v>7.2759576141834259E-12</v>
      </c>
    </row>
    <row r="48" spans="1:7" x14ac:dyDescent="0.3">
      <c r="C48" s="5" t="str" vm="118">
        <f>CUBEMEMBER("KRK HUO2 RH Statistika","[Rizici].[hSkupineRiziciOsiguranja].[Rizik].&amp;[33]")</f>
        <v>08.01 OSIGURANJE OD POŽARA I ELEMENTARNIH NEPOGODA IZVAN INDUSTRIJE I OBRTA</v>
      </c>
      <c r="F48" s="5" t="str" vm="175">
        <f>CUBEMEMBER("KRK HUO2 RH Statistika","[Rizici].[hSkupineRiziciOsiguranja].[Rizik].&amp;[119]")</f>
        <v>23.04 ŽIVOTNO OSIGURANJE KOD KOJEG OSIGURANIK NA SEBE PREUZIMA INVESTICIJSKI RIZIK S GARANCIJOM ISPLATE</v>
      </c>
      <c r="G48" vm="223">
        <f t="shared" si="0"/>
        <v>1264514306.7199998</v>
      </c>
    </row>
    <row r="49" spans="3:7" x14ac:dyDescent="0.3">
      <c r="C49" s="5" t="str" vm="94">
        <f>CUBEMEMBER("KRK HUO2 RH Statistika","[Rizici].[hSkupineRiziciOsiguranja].[Rizik].&amp;[34]")</f>
        <v>08.02 OSIGURANJE OD POŽARA I ELEMENTARNIH NEPOGODA U INDUSTRIJI I OBRTU</v>
      </c>
      <c r="F49" s="5" t="str" vm="188">
        <f>CUBEMEMBER("KRK HUO2 RH Statistika","[Rizici].[hSkupineRiziciOsiguranja].[Rizik].&amp;[120]")</f>
        <v>23.99 OSTALA ŽIVOTNA OSIGURANJA KOD KOJIH OSIGURANIK NA SEBE PREUZIMA INVESTICIJSKI RIZIK</v>
      </c>
      <c r="G49" vm="236">
        <f t="shared" si="0"/>
        <v>606451296.52999961</v>
      </c>
    </row>
    <row r="50" spans="3:7" x14ac:dyDescent="0.3">
      <c r="C50" s="5" t="str" vm="163">
        <f>CUBEMEMBER("KRK HUO2 RH Statistika","[Rizici].[hSkupineRiziciOsiguranja].[Rizik].&amp;[35]")</f>
        <v>08.99 OSTALA OSIGURANJA OD POŽARA I ELEMENTARNIH NEPOGODA</v>
      </c>
      <c r="F50" s="3" t="str" vm="174">
        <f>CUBEMEMBER("KRK HUO2 RH Statistika","[Rizici].[hSkupineRiziciOsiguranja].[Vrsta osiguranja].&amp;[24]")</f>
        <v>24 TONTINE</v>
      </c>
      <c r="G50" vm="222">
        <f t="shared" si="0"/>
        <v>0</v>
      </c>
    </row>
    <row r="51" spans="3:7" x14ac:dyDescent="0.3">
      <c r="C51" s="3" t="str" vm="47">
        <f>CUBEMEMBER("KRK HUO2 RH Statistika","[Rizici].[hSkupineRiziciOsiguranja].[Vrsta osiguranja].&amp;[9]")</f>
        <v>09 OSTALA OSIGURANJA IMOVINE</v>
      </c>
      <c r="F51" s="5" t="str" vm="187">
        <f>CUBEMEMBER("KRK HUO2 RH Statistika","[Rizici].[hSkupineRiziciOsiguranja].[Rizik].&amp;[121]")</f>
        <v>24.01 TONTINE</v>
      </c>
      <c r="G51" vm="235">
        <f t="shared" si="0"/>
        <v>0</v>
      </c>
    </row>
    <row r="52" spans="3:7" x14ac:dyDescent="0.3">
      <c r="C52" s="5" t="str" vm="117">
        <f>CUBEMEMBER("KRK HUO2 RH Statistika","[Rizici].[hSkupineRiziciOsiguranja].[Rizik].&amp;[36]")</f>
        <v>09.01 OSIGURANJE STROJEVA OD LOMA</v>
      </c>
      <c r="F52" s="3" t="str" vm="173">
        <f>CUBEMEMBER("KRK HUO2 RH Statistika","[Rizici].[hSkupineRiziciOsiguranja].[Vrsta osiguranja].&amp;[25]")</f>
        <v>25 OSIGURANJE S KAPITALIZACIJOM</v>
      </c>
      <c r="G52" vm="221">
        <f t="shared" si="0"/>
        <v>0</v>
      </c>
    </row>
    <row r="53" spans="3:7" x14ac:dyDescent="0.3">
      <c r="C53" s="5" t="str" vm="93">
        <f>CUBEMEMBER("KRK HUO2 RH Statistika","[Rizici].[hSkupineRiziciOsiguranja].[Rizik].&amp;[37]")</f>
        <v>09.02 OSIGURANJE OD PROVALNE KRAĐE I RAZBOJSTVA</v>
      </c>
      <c r="F53" s="5" t="str" vm="186">
        <f>CUBEMEMBER("KRK HUO2 RH Statistika","[Rizici].[hSkupineRiziciOsiguranja].[Rizik].&amp;[122]")</f>
        <v>25.01 OSIGURANJE S KAPITALIZACIJOM ISPLATE</v>
      </c>
      <c r="G53" vm="234">
        <f t="shared" si="0"/>
        <v>0</v>
      </c>
    </row>
    <row r="54" spans="3:7" x14ac:dyDescent="0.3">
      <c r="C54" s="5" t="str" vm="162">
        <f>CUBEMEMBER("KRK HUO2 RH Statistika","[Rizici].[hSkupineRiziciOsiguranja].[Rizik].&amp;[38]")</f>
        <v>09.03 OSIGURANJE STAKLA OD LOMA</v>
      </c>
      <c r="F54" s="2" t="str" vm="31">
        <f>CUBEMEMBER("KRK HUO2 RH Statistika","[Rizici].[hSkupineRiziciOsiguranja].[Sve]","Grand Total")</f>
        <v>Grand Total</v>
      </c>
      <c r="G54" vm="220">
        <f t="shared" si="0"/>
        <v>204893920460.24875</v>
      </c>
    </row>
    <row r="55" spans="3:7" x14ac:dyDescent="0.3">
      <c r="C55" s="5" t="str" vm="141">
        <f>CUBEMEMBER("KRK HUO2 RH Statistika","[Rizici].[hSkupineRiziciOsiguranja].[Rizik].&amp;[39]")</f>
        <v>09.04 OSIGURANJE KUĆANSTVA</v>
      </c>
    </row>
    <row r="56" spans="3:7" x14ac:dyDescent="0.3">
      <c r="C56" s="5" t="str" vm="116">
        <f>CUBEMEMBER("KRK HUO2 RH Statistika","[Rizici].[hSkupineRiziciOsiguranja].[Rizik].&amp;[40]")</f>
        <v>09.05 OSIGURANJE GRAĐEVINSKIH OBJEKATA U IZGRADNJI</v>
      </c>
    </row>
    <row r="57" spans="3:7" x14ac:dyDescent="0.3">
      <c r="C57" s="5" t="str" vm="92">
        <f>CUBEMEMBER("KRK HUO2 RH Statistika","[Rizici].[hSkupineRiziciOsiguranja].[Rizik].&amp;[41]")</f>
        <v>09.06 OSIGURANJE OBJEKATA U MONTAŽI</v>
      </c>
    </row>
    <row r="58" spans="3:7" x14ac:dyDescent="0.3">
      <c r="C58" s="5" t="str" vm="161">
        <f>CUBEMEMBER("KRK HUO2 RH Statistika","[Rizici].[hSkupineRiziciOsiguranja].[Rizik].&amp;[42]")</f>
        <v>09.07 OSIGURANJE FILMSKE DJELATNOSTI</v>
      </c>
    </row>
    <row r="59" spans="3:7" x14ac:dyDescent="0.3">
      <c r="C59" s="5" t="str" vm="140">
        <f>CUBEMEMBER("KRK HUO2 RH Statistika","[Rizici].[hSkupineRiziciOsiguranja].[Rizik].&amp;[43]")</f>
        <v>09.08 OSIGURANJE STVARI U RUDARSKIM JAMAMA</v>
      </c>
    </row>
    <row r="60" spans="3:7" x14ac:dyDescent="0.3">
      <c r="C60" s="5" t="str" vm="115">
        <f>CUBEMEMBER("KRK HUO2 RH Statistika","[Rizici].[hSkupineRiziciOsiguranja].[Rizik].&amp;[44]")</f>
        <v>09.09 OSIGURANJE INFORMATIČKE OPREME</v>
      </c>
    </row>
    <row r="61" spans="3:7" x14ac:dyDescent="0.3">
      <c r="C61" s="5" t="str" vm="91">
        <f>CUBEMEMBER("KRK HUO2 RH Statistika","[Rizici].[hSkupineRiziciOsiguranja].[Rizik].&amp;[45]")</f>
        <v>09.10 OSIGURANJE ZALIHA U HLADNJAČAMA</v>
      </c>
    </row>
    <row r="62" spans="3:7" x14ac:dyDescent="0.3">
      <c r="C62" s="5" t="str" vm="160">
        <f>CUBEMEMBER("KRK HUO2 RH Statistika","[Rizici].[hSkupineRiziciOsiguranja].[Rizik].&amp;[46]")</f>
        <v>09.11 OSIGURANJE USJEVA I NASADA</v>
      </c>
    </row>
    <row r="63" spans="3:7" x14ac:dyDescent="0.3">
      <c r="C63" s="5" t="str" vm="139">
        <f>CUBEMEMBER("KRK HUO2 RH Statistika","[Rizici].[hSkupineRiziciOsiguranja].[Rizik].&amp;[47]")</f>
        <v>09.12 OSIGURANJE ŽIVOTINJA</v>
      </c>
    </row>
    <row r="64" spans="3:7" x14ac:dyDescent="0.3">
      <c r="C64" s="5" t="str" vm="114">
        <f>CUBEMEMBER("KRK HUO2 RH Statistika","[Rizici].[hSkupineRiziciOsiguranja].[Rizik].&amp;[48]")</f>
        <v>09.99 OSTALA OSIGURANJA IMOVINE</v>
      </c>
    </row>
    <row r="65" spans="3:3" x14ac:dyDescent="0.3">
      <c r="C65" s="3" t="str" vm="43">
        <f>CUBEMEMBER("KRK HUO2 RH Statistika","[Rizici].[hSkupineRiziciOsiguranja].[Vrsta osiguranja].&amp;[10]")</f>
        <v>10 OSIGURANJE OD ODGOVORNOSTI ZA UPOTREBU MOTORNIH VOZILA</v>
      </c>
    </row>
    <row r="66" spans="3:3" x14ac:dyDescent="0.3">
      <c r="C66" s="5" t="str" vm="159">
        <f>CUBEMEMBER("KRK HUO2 RH Statistika","[Rizici].[hSkupineRiziciOsiguranja].[Rizik].&amp;[49]")</f>
        <v>10.01 OBV. OSIG. VLASNIKA ODNOSNO KORISNIKA MOT. VOZILA OD ODG. ZA ŠTETE TREĆIM OSOBAMA</v>
      </c>
    </row>
    <row r="67" spans="3:3" x14ac:dyDescent="0.3">
      <c r="C67" s="5" t="str" vm="138">
        <f>CUBEMEMBER("KRK HUO2 RH Statistika","[Rizici].[hSkupineRiziciOsiguranja].[Rizik].&amp;[50]")</f>
        <v>10.02 DRAGOVOLJNO OSIG. VLASNIKA ODNOSNO KORISNIKA MOTORNIH VOZILA OD ODG. ZA ŠTETE TREĆIM OSOBAMA</v>
      </c>
    </row>
    <row r="68" spans="3:3" x14ac:dyDescent="0.3">
      <c r="C68" s="5" t="str" vm="113">
        <f>CUBEMEMBER("KRK HUO2 RH Statistika","[Rizici].[hSkupineRiziciOsiguranja].[Rizik].&amp;[51]")</f>
        <v>10.03 OSIG. OD ODGOVORNOSTI VOZARA ZA ROBU PRIMLJENU NA PRIJEVOZ U CESTOVNOM PROMETU</v>
      </c>
    </row>
    <row r="69" spans="3:3" x14ac:dyDescent="0.3">
      <c r="C69" s="5" t="str" vm="90">
        <f>CUBEMEMBER("KRK HUO2 RH Statistika","[Rizici].[hSkupineRiziciOsiguranja].[Rizik].&amp;[52]")</f>
        <v>10.99 OSTALA OSIGURANJA OD AUTOMOBILSKE ODGOVORNOSTI</v>
      </c>
    </row>
    <row r="70" spans="3:3" x14ac:dyDescent="0.3">
      <c r="C70" s="3" t="str" vm="34">
        <f>CUBEMEMBER("KRK HUO2 RH Statistika","[Rizici].[hSkupineRiziciOsiguranja].[Vrsta osiguranja].&amp;[11]")</f>
        <v>11 OSIGURANJE OD ODGOVORNOSTI ZA UPOTREBU ZRAČNIH LETJELICA</v>
      </c>
    </row>
    <row r="71" spans="3:3" x14ac:dyDescent="0.3">
      <c r="C71" s="5" t="str" vm="137">
        <f>CUBEMEMBER("KRK HUO2 RH Statistika","[Rizici].[hSkupineRiziciOsiguranja].[Rizik].&amp;[53]")</f>
        <v>11.01 OBV. OSIG. VLASNIKA ODNOSNO KORISNIKA ZRAČNIH LETJELICA OD ODG. ZA ŠTETE TREĆIM OSOBAMA</v>
      </c>
    </row>
    <row r="72" spans="3:3" x14ac:dyDescent="0.3">
      <c r="C72" s="5" t="str" vm="112">
        <f>CUBEMEMBER("KRK HUO2 RH Statistika","[Rizici].[hSkupineRiziciOsiguranja].[Rizik].&amp;[54]")</f>
        <v>11.02 OSIG. VLASNIKA ODN. KORIS. ZRAČNIH LETJELICA OD ODG. SVIH VRSTA</v>
      </c>
    </row>
    <row r="73" spans="3:3" x14ac:dyDescent="0.3">
      <c r="C73" s="3" t="str" vm="39">
        <f>CUBEMEMBER("KRK HUO2 RH Statistika","[Rizici].[hSkupineRiziciOsiguranja].[Vrsta osiguranja].&amp;[12]")</f>
        <v>12 OSIGURANJE OD ODGOVORNOSTI ZA UPOTREBU PLOVILA</v>
      </c>
    </row>
    <row r="74" spans="3:3" x14ac:dyDescent="0.3">
      <c r="C74" s="5" t="str" vm="158">
        <f>CUBEMEMBER("KRK HUO2 RH Statistika","[Rizici].[hSkupineRiziciOsiguranja].[Rizik].&amp;[55]")</f>
        <v>12.01 OSIG. OD ODG. VLASNIKA ODNOSNO KORISNIKA POMORSKIH BRODOVA</v>
      </c>
    </row>
    <row r="75" spans="3:3" x14ac:dyDescent="0.3">
      <c r="C75" s="5" t="str" vm="136">
        <f>CUBEMEMBER("KRK HUO2 RH Statistika","[Rizici].[hSkupineRiziciOsiguranja].[Rizik].&amp;[56]")</f>
        <v>12.02 OSIG. OD ODG. VLASNIKA ODNOSNO KORISNIKA RIJEČNIH I JEZERSKIH PLOVILA</v>
      </c>
    </row>
    <row r="76" spans="3:3" x14ac:dyDescent="0.3">
      <c r="C76" s="5" t="str" vm="111">
        <f>CUBEMEMBER("KRK HUO2 RH Statistika","[Rizici].[hSkupineRiziciOsiguranja].[Rizik].&amp;[57]")</f>
        <v>12.03 OBVEZNO OSIG. OD ODG. VLASNIKA ODNOSNO KORISNIKA BRODICA NA MOTORNI POGON ZA ŠTETE TREĆIM OSOBAMA</v>
      </c>
    </row>
    <row r="77" spans="3:3" x14ac:dyDescent="0.3">
      <c r="C77" s="5" t="str" vm="89">
        <f>CUBEMEMBER("KRK HUO2 RH Statistika","[Rizici].[hSkupineRiziciOsiguranja].[Rizik].&amp;[58]")</f>
        <v>12.99 OSTALA OSIGURANJA OD ODGOVORNOSTI ZA UPOTREBU PLOVILA</v>
      </c>
    </row>
    <row r="78" spans="3:3" x14ac:dyDescent="0.3">
      <c r="C78" s="3" t="str" vm="37">
        <f>CUBEMEMBER("KRK HUO2 RH Statistika","[Rizici].[hSkupineRiziciOsiguranja].[Vrsta osiguranja].&amp;[13]")</f>
        <v>13 OSTALA OSIGURANJA OD ODGOVORNOSTI</v>
      </c>
    </row>
    <row r="79" spans="3:3" x14ac:dyDescent="0.3">
      <c r="C79" s="5" t="str" vm="135">
        <f>CUBEMEMBER("KRK HUO2 RH Statistika","[Rizici].[hSkupineRiziciOsiguranja].[Rizik].&amp;[59]")</f>
        <v>13.01 OSIGURANJE UGOVORNE ODGOVORNOSTI IZVOĐAČA GRAĐEVINSKIH RADOVA</v>
      </c>
    </row>
    <row r="80" spans="3:3" x14ac:dyDescent="0.3">
      <c r="C80" s="5" t="str" vm="110">
        <f>CUBEMEMBER("KRK HUO2 RH Statistika","[Rizici].[hSkupineRiziciOsiguranja].[Rizik].&amp;[60]")</f>
        <v>13.02 OSIGURANJE UGOVORNE ODGOVORNOSTI IZVOĐAČA MONTAŽNIH RADOVA</v>
      </c>
    </row>
    <row r="81" spans="3:3" x14ac:dyDescent="0.3">
      <c r="C81" s="5" t="str" vm="88">
        <f>CUBEMEMBER("KRK HUO2 RH Statistika","[Rizici].[hSkupineRiziciOsiguranja].[Rizik].&amp;[61]")</f>
        <v>13.03 OSIGURANJE OD ODGOVORNOSTI PROIZVOĐAČA FILMOVA</v>
      </c>
    </row>
    <row r="82" spans="3:3" x14ac:dyDescent="0.3">
      <c r="C82" s="5" t="str" vm="157">
        <f>CUBEMEMBER("KRK HUO2 RH Statistika","[Rizici].[hSkupineRiziciOsiguranja].[Rizik].&amp;[62]")</f>
        <v>13.04 OSIGURANJE OD ODGOVORNOSTI PROIZVOĐAČA ZA PROIZVODE</v>
      </c>
    </row>
    <row r="83" spans="3:3" x14ac:dyDescent="0.3">
      <c r="C83" s="5" t="str" vm="134">
        <f>CUBEMEMBER("KRK HUO2 RH Statistika","[Rizici].[hSkupineRiziciOsiguranja].[Rizik].&amp;[63]")</f>
        <v>13.05 OSIGURANJE OD ODGOVORNOSTI U ŽELJEZNIČKOM PROMETU</v>
      </c>
    </row>
    <row r="84" spans="3:3" x14ac:dyDescent="0.3">
      <c r="C84" s="5" t="str" vm="109">
        <f>CUBEMEMBER("KRK HUO2 RH Statistika","[Rizici].[hSkupineRiziciOsiguranja].[Rizik].&amp;[64]")</f>
        <v>13.06 OSIGURANJE GARANCIJE PRIZVOĐAČA, PRODAVAČA I DOBAVLJAČA</v>
      </c>
    </row>
    <row r="85" spans="3:3" x14ac:dyDescent="0.3">
      <c r="C85" s="5" t="str" vm="87">
        <f>CUBEMEMBER("KRK HUO2 RH Statistika","[Rizici].[hSkupineRiziciOsiguranja].[Rizik].&amp;[65]")</f>
        <v>13.07 OSIGURANJE OPĆE ODGOVORNOSTI</v>
      </c>
    </row>
    <row r="86" spans="3:3" x14ac:dyDescent="0.3">
      <c r="C86" s="5" t="str" vm="156">
        <f>CUBEMEMBER("KRK HUO2 RH Statistika","[Rizici].[hSkupineRiziciOsiguranja].[Rizik].&amp;[66]")</f>
        <v>13.08 OSIGURANJE OD ODG. PROJEKTNIH I DRUGIH DRUŠTAVA ZA ŠTETE NA OBJEKTIMA ZBOG NISPRAVNE TEH. DOK.</v>
      </c>
    </row>
    <row r="87" spans="3:3" x14ac:dyDescent="0.3">
      <c r="C87" s="5" t="str" vm="133">
        <f>CUBEMEMBER("KRK HUO2 RH Statistika","[Rizici].[hSkupineRiziciOsiguranja].[Rizik].&amp;[67]")</f>
        <v>13.09 OSIGURANJE OD ODGOVORNOSTI PROJEKTNIH I DRUGIH DRUŠTAVA</v>
      </c>
    </row>
    <row r="88" spans="3:3" x14ac:dyDescent="0.3">
      <c r="C88" s="5" t="str" vm="108">
        <f>CUBEMEMBER("KRK HUO2 RH Statistika","[Rizici].[hSkupineRiziciOsiguranja].[Rizik].&amp;[68]")</f>
        <v>13.10 OSIGURANJE OD ODGOVORNOSTI ODVJETNIKA</v>
      </c>
    </row>
    <row r="89" spans="3:3" x14ac:dyDescent="0.3">
      <c r="C89" s="5" t="str" vm="86">
        <f>CUBEMEMBER("KRK HUO2 RH Statistika","[Rizici].[hSkupineRiziciOsiguranja].[Rizik].&amp;[69]")</f>
        <v>13.11 OSIGURANJE OD ODGOVORNOSTI JAVNIH BILJEŽNIKA</v>
      </c>
    </row>
    <row r="90" spans="3:3" x14ac:dyDescent="0.3">
      <c r="C90" s="5" t="str" vm="155">
        <f>CUBEMEMBER("KRK HUO2 RH Statistika","[Rizici].[hSkupineRiziciOsiguranja].[Rizik].&amp;[70]")</f>
        <v>13.12 OSIGURANJE OD ODGOVORNOSTI REVIZORSKIH TVRTKI</v>
      </c>
    </row>
    <row r="91" spans="3:3" x14ac:dyDescent="0.3">
      <c r="C91" s="5" t="str" vm="132">
        <f>CUBEMEMBER("KRK HUO2 RH Statistika","[Rizici].[hSkupineRiziciOsiguranja].[Rizik].&amp;[71]")</f>
        <v>13.13 OSIGURANJE OD ODGOVORNOSTI ŠPEDITERA</v>
      </c>
    </row>
    <row r="92" spans="3:3" x14ac:dyDescent="0.3">
      <c r="C92" s="5" t="str" vm="107">
        <f>CUBEMEMBER("KRK HUO2 RH Statistika","[Rizici].[hSkupineRiziciOsiguranja].[Rizik].&amp;[72]")</f>
        <v>13.14 OSIGURANJE OD ODGOVORNOSTI VLASNIKA ODNOSNO KORISNIKA MARINE</v>
      </c>
    </row>
    <row r="93" spans="3:3" x14ac:dyDescent="0.3">
      <c r="C93" s="5" t="str" vm="85">
        <f>CUBEMEMBER("KRK HUO2 RH Statistika","[Rizici].[hSkupineRiziciOsiguranja].[Rizik].&amp;[73]")</f>
        <v>13.15 OSIGURANJE OD ODGOVORNOSTI BRODOPOPRAVLJAČA</v>
      </c>
    </row>
    <row r="94" spans="3:3" x14ac:dyDescent="0.3">
      <c r="C94" s="5" t="str" vm="154">
        <f>CUBEMEMBER("KRK HUO2 RH Statistika","[Rizici].[hSkupineRiziciOsiguranja].[Rizik].&amp;[74]")</f>
        <v>13.16 OSIGURANJE OD ODGOVORNOSTI OBAVLJANJA ZAŠTITARSKIH I DETEKTIVSKIH DJELATNOSTI</v>
      </c>
    </row>
    <row r="95" spans="3:3" x14ac:dyDescent="0.3">
      <c r="C95" s="5" t="str" vm="131">
        <f>CUBEMEMBER("KRK HUO2 RH Statistika","[Rizici].[hSkupineRiziciOsiguranja].[Rizik].&amp;[75]")</f>
        <v>13.17 OSIGURANJE OD ODGOVORNOSTI IZ OBAVLJANJA DJELATNOSTI UPRAVLJANJA NEKRETNINAMA</v>
      </c>
    </row>
    <row r="96" spans="3:3" x14ac:dyDescent="0.3">
      <c r="C96" s="5" t="str" vm="106">
        <f>CUBEMEMBER("KRK HUO2 RH Statistika","[Rizici].[hSkupineRiziciOsiguranja].[Rizik].&amp;[76]")</f>
        <v>13.18 OSIGURANJE OD ODGOVORNOSTI IZ OBAVLJANJA LIJEČNIČKE, STOMATOLOŠKE I LJEKARNIČKE DJELATNOSTI</v>
      </c>
    </row>
    <row r="97" spans="3:3" x14ac:dyDescent="0.3">
      <c r="C97" s="5" t="str" vm="84">
        <f>CUBEMEMBER("KRK HUO2 RH Statistika","[Rizici].[hSkupineRiziciOsiguranja].[Rizik].&amp;[77]")</f>
        <v>13.19 OSIGURANJE OD ODGOVORNOSTI STEČAJNIH UPRAVITELJA</v>
      </c>
    </row>
    <row r="98" spans="3:3" x14ac:dyDescent="0.3">
      <c r="C98" s="5" t="str" vm="153">
        <f>CUBEMEMBER("KRK HUO2 RH Statistika","[Rizici].[hSkupineRiziciOsiguranja].[Rizik].&amp;[78]")</f>
        <v>13.99 OSTALA OSIGURANJA OD ODGOVORNOSTI</v>
      </c>
    </row>
    <row r="99" spans="3:3" x14ac:dyDescent="0.3">
      <c r="C99" s="3" t="str" vm="42">
        <f>CUBEMEMBER("KRK HUO2 RH Statistika","[Rizici].[hSkupineRiziciOsiguranja].[Vrsta osiguranja].&amp;[14]")</f>
        <v>14 OSIGURANJE KREDITA</v>
      </c>
    </row>
    <row r="100" spans="3:3" x14ac:dyDescent="0.3">
      <c r="C100" s="5" t="str" vm="105">
        <f>CUBEMEMBER("KRK HUO2 RH Statistika","[Rizici].[hSkupineRiziciOsiguranja].[Rizik].&amp;[79]")</f>
        <v>14.01 OSIGURANJE IZVOZNIH POTRAŽIVANJA</v>
      </c>
    </row>
    <row r="101" spans="3:3" x14ac:dyDescent="0.3">
      <c r="C101" s="5" t="str" vm="83">
        <f>CUBEMEMBER("KRK HUO2 RH Statistika","[Rizici].[hSkupineRiziciOsiguranja].[Rizik].&amp;[80]")</f>
        <v>14.02 OSIGURANJE DRUGIH VRSTA POTRAŽIVANJA</v>
      </c>
    </row>
    <row r="102" spans="3:3" x14ac:dyDescent="0.3">
      <c r="C102" s="5" t="str" vm="152">
        <f>CUBEMEMBER("KRK HUO2 RH Statistika","[Rizici].[hSkupineRiziciOsiguranja].[Rizik].&amp;[81]")</f>
        <v>14.03 OSIGURANJE STAMBENIH KREDITA</v>
      </c>
    </row>
    <row r="103" spans="3:3" x14ac:dyDescent="0.3">
      <c r="C103" s="3" t="str" vm="33">
        <f>CUBEMEMBER("KRK HUO2 RH Statistika","[Rizici].[hSkupineRiziciOsiguranja].[Vrsta osiguranja].&amp;[15]")</f>
        <v>15 OSIGURANJE JAMSTVA</v>
      </c>
    </row>
    <row r="104" spans="3:3" x14ac:dyDescent="0.3">
      <c r="C104" s="5" t="str" vm="104">
        <f>CUBEMEMBER("KRK HUO2 RH Statistika","[Rizici].[hSkupineRiziciOsiguranja].[Rizik].&amp;[82]")</f>
        <v>15.01 OSIGURANJE JAMSTVA</v>
      </c>
    </row>
    <row r="105" spans="3:3" x14ac:dyDescent="0.3">
      <c r="C105" s="5" t="str" vm="82">
        <f>CUBEMEMBER("KRK HUO2 RH Statistika","[Rizici].[hSkupineRiziciOsiguranja].[Rizik].&amp;[83]")</f>
        <v>15.02 OSIGURANJE GARANCIJA</v>
      </c>
    </row>
    <row r="106" spans="3:3" x14ac:dyDescent="0.3">
      <c r="C106" s="3" t="str" vm="49">
        <f>CUBEMEMBER("KRK HUO2 RH Statistika","[Rizici].[hSkupineRiziciOsiguranja].[Vrsta osiguranja].&amp;[16]")</f>
        <v>16 OSIGURANJE RAZNIH FINANCIJSKIH GUBITAKA</v>
      </c>
    </row>
    <row r="107" spans="3:3" x14ac:dyDescent="0.3">
      <c r="C107" s="5" t="str" vm="130">
        <f>CUBEMEMBER("KRK HUO2 RH Statistika","[Rizici].[hSkupineRiziciOsiguranja].[Rizik].&amp;[84]")</f>
        <v>16.01 OSIG. FINANC. GUBITAKA RADI PREKIDA RADA ZBOG POŽARA I NEKIH DRUGIH OPASNOSTI</v>
      </c>
    </row>
    <row r="108" spans="3:3" x14ac:dyDescent="0.3">
      <c r="C108" s="5" t="str" vm="103">
        <f>CUBEMEMBER("KRK HUO2 RH Statistika","[Rizici].[hSkupineRiziciOsiguranja].[Rizik].&amp;[85]")</f>
        <v>16.02 OSIGURANJE FINANCIJSKIH GUBITAKA RADI PREKIDA RADA ZBOG LOMA STROJEVA</v>
      </c>
    </row>
    <row r="109" spans="3:3" x14ac:dyDescent="0.3">
      <c r="C109" s="5" t="str" vm="81">
        <f>CUBEMEMBER("KRK HUO2 RH Statistika","[Rizici].[hSkupineRiziciOsiguranja].[Rizik].&amp;[86]")</f>
        <v>16.03 OSIGURANJE RAZNIH PRIREDBI ZBOG ATMOSFERSKIH OBORINA</v>
      </c>
    </row>
    <row r="110" spans="3:3" x14ac:dyDescent="0.3">
      <c r="C110" s="5" t="str" vm="151">
        <f>CUBEMEMBER("KRK HUO2 RH Statistika","[Rizici].[hSkupineRiziciOsiguranja].[Rizik].&amp;[87]")</f>
        <v>16.04 OSIGURANJE OD ŠTETA ZBOG OTKUPA KRIVOTVORENIH INOZEMNIH SREDSTAVA PLAĆANJA</v>
      </c>
    </row>
    <row r="111" spans="3:3" x14ac:dyDescent="0.3">
      <c r="C111" s="5" t="str" vm="129">
        <f>CUBEMEMBER("KRK HUO2 RH Statistika","[Rizici].[hSkupineRiziciOsiguranja].[Rizik].&amp;[88]")</f>
        <v>16.05 OSIGURANJE OPASNOSTI OTKAZA TURISTIČKIH PUTOVANJA</v>
      </c>
    </row>
    <row r="112" spans="3:3" x14ac:dyDescent="0.3">
      <c r="C112" s="5" t="str" vm="102">
        <f>CUBEMEMBER("KRK HUO2 RH Statistika","[Rizici].[hSkupineRiziciOsiguranja].[Rizik].&amp;[89]")</f>
        <v>16.99 OSTALA OSIGURANJA FINANCIJSKIH GUBITAKA</v>
      </c>
    </row>
    <row r="113" spans="3:3" x14ac:dyDescent="0.3">
      <c r="C113" s="3" t="str" vm="46">
        <f>CUBEMEMBER("KRK HUO2 RH Statistika","[Rizici].[hSkupineRiziciOsiguranja].[Vrsta osiguranja].&amp;[17]")</f>
        <v>17 OSIGURANJE TROŠKOVA PRAVNE ZAŠTITE</v>
      </c>
    </row>
    <row r="114" spans="3:3" x14ac:dyDescent="0.3">
      <c r="C114" s="5" t="str" vm="150">
        <f>CUBEMEMBER("KRK HUO2 RH Statistika","[Rizici].[hSkupineRiziciOsiguranja].[Rizik].&amp;[90]")</f>
        <v>17.01 OSIGURANJE TROŠKOVA PRAVNE ZAŠTITE I TROŠKOVA SUDSKOG POSTUPKA</v>
      </c>
    </row>
    <row r="115" spans="3:3" x14ac:dyDescent="0.3">
      <c r="C115" s="3" t="str" vm="41">
        <f>CUBEMEMBER("KRK HUO2 RH Statistika","[Rizici].[hSkupineRiziciOsiguranja].[Vrsta osiguranja].&amp;[18]")</f>
        <v>18 PUTNO OSIGURANJE</v>
      </c>
    </row>
    <row r="116" spans="3:3" x14ac:dyDescent="0.3">
      <c r="C116" s="5" t="str" vm="101">
        <f>CUBEMEMBER("KRK HUO2 RH Statistika","[Rizici].[hSkupineRiziciOsiguranja].[Rizik].&amp;[91]")</f>
        <v>18.01 TURISTIČKO OSIGURANJE</v>
      </c>
    </row>
    <row r="117" spans="3:3" x14ac:dyDescent="0.3">
      <c r="C117" s="5" t="str" vm="80">
        <f>CUBEMEMBER("KRK HUO2 RH Statistika","[Rizici].[hSkupineRiziciOsiguranja].[Rizik].&amp;[93]")</f>
        <v>18.03 PUTNO ZDRAVSTVENO OSIGURANJE</v>
      </c>
    </row>
    <row r="118" spans="3:3" x14ac:dyDescent="0.3">
      <c r="C118" s="5" t="str" vm="149">
        <f>CUBEMEMBER("KRK HUO2 RH Statistika","[Rizici].[hSkupineRiziciOsiguranja].[Rizik].&amp;[94]")</f>
        <v>18.04 OSIGURANJE POMOĆI (ASISTENCIJE) ZA VRIJEME PUTA, IZVAN MJESTA BORAVKA ILI PREBIVALIŠTA</v>
      </c>
    </row>
    <row r="119" spans="3:3" x14ac:dyDescent="0.3">
      <c r="C119" s="5" t="str" vm="128">
        <f>CUBEMEMBER("KRK HUO2 RH Statistika","[Rizici].[hSkupineRiziciOsiguranja].[Rizik].&amp;[95]")</f>
        <v>18.99 OSTALA OSIGURANJA TURISTIČKIH RIZIKA</v>
      </c>
    </row>
    <row r="120" spans="3:3" x14ac:dyDescent="0.3">
      <c r="C120" s="2" t="str" vm="32">
        <f>CUBEMEMBER("KRK HUO2 RH Statistika","[Rizici].[hSkupineRiziciOsiguranja].[Skupina osiguranja].&amp;[2]")</f>
        <v>Život</v>
      </c>
    </row>
    <row r="121" spans="3:3" x14ac:dyDescent="0.3">
      <c r="C121" s="2" t="str" vm="31">
        <f>CUBEMEMBER("KRK HUO2 RH Statistika","[Rizici].[hSkupineRiziciOsiguranja].[Sve]","Grand Total")</f>
        <v>Grand Total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6" tint="0.39997558519241921"/>
    <pageSetUpPr fitToPage="1"/>
  </sheetPr>
  <dimension ref="A1:U32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6.69921875" style="8" bestFit="1" customWidth="1"/>
    <col min="4" max="4" width="11.296875" style="8" bestFit="1" customWidth="1"/>
    <col min="5" max="5" width="16.69921875" style="8" bestFit="1" customWidth="1"/>
    <col min="6" max="6" width="11.296875" style="8" bestFit="1" customWidth="1"/>
    <col min="7" max="7" width="11.59765625" style="61" bestFit="1" customWidth="1"/>
    <col min="8" max="8" width="13.59765625" style="8" bestFit="1" customWidth="1"/>
    <col min="9" max="9" width="12.296875" style="8" bestFit="1" customWidth="1"/>
    <col min="10" max="10" width="13.59765625" style="8" bestFit="1" customWidth="1"/>
    <col min="11" max="11" width="12.296875" style="8" bestFit="1" customWidth="1"/>
    <col min="12" max="12" width="11.59765625" style="61" customWidth="1"/>
    <col min="13" max="13" width="7.69921875" style="8" customWidth="1"/>
    <col min="14" max="16384" width="9.296875" style="8"/>
  </cols>
  <sheetData>
    <row r="1" spans="1:17" s="18" customFormat="1" ht="58.85" customHeight="1" x14ac:dyDescent="0.3">
      <c r="A1" s="372" t="s">
        <v>141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</row>
    <row r="2" spans="1:17" s="18" customFormat="1" ht="13.85" x14ac:dyDescent="0.3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</row>
    <row r="3" spans="1:17" ht="21.75" customHeight="1" x14ac:dyDescent="0.3"/>
    <row r="4" spans="1:17" ht="7.5" customHeight="1" thickBot="1" x14ac:dyDescent="0.35"/>
    <row r="5" spans="1:17" s="53" customFormat="1" ht="14.95" customHeight="1" x14ac:dyDescent="0.3">
      <c r="B5" s="369" t="s">
        <v>44</v>
      </c>
      <c r="C5" s="367" t="s">
        <v>37</v>
      </c>
      <c r="D5" s="367"/>
      <c r="E5" s="367"/>
      <c r="F5" s="367"/>
      <c r="G5" s="367"/>
      <c r="H5" s="367" t="s">
        <v>41</v>
      </c>
      <c r="I5" s="367"/>
      <c r="J5" s="367"/>
      <c r="K5" s="367"/>
      <c r="L5" s="368"/>
    </row>
    <row r="6" spans="1:17" s="54" customFormat="1" ht="23.85" thickBot="1" x14ac:dyDescent="0.35">
      <c r="B6" s="370"/>
      <c r="C6" s="6" t="s">
        <v>143</v>
      </c>
      <c r="D6" s="6" t="s">
        <v>38</v>
      </c>
      <c r="E6" s="6" t="s">
        <v>144</v>
      </c>
      <c r="F6" s="6" t="s">
        <v>38</v>
      </c>
      <c r="G6" s="22" t="s">
        <v>142</v>
      </c>
      <c r="H6" s="6" t="s">
        <v>143</v>
      </c>
      <c r="I6" s="6" t="s">
        <v>38</v>
      </c>
      <c r="J6" s="6" t="s">
        <v>144</v>
      </c>
      <c r="K6" s="6" t="s">
        <v>38</v>
      </c>
      <c r="L6" s="24" t="s">
        <v>142</v>
      </c>
    </row>
    <row r="7" spans="1:17" s="55" customFormat="1" ht="3.75" customHeight="1" x14ac:dyDescent="0.3">
      <c r="C7" s="54"/>
      <c r="D7" s="54"/>
      <c r="E7" s="54"/>
      <c r="F7" s="54"/>
      <c r="G7" s="56"/>
      <c r="H7" s="54"/>
      <c r="I7" s="54"/>
      <c r="J7" s="54"/>
      <c r="K7" s="54"/>
      <c r="L7" s="56"/>
      <c r="M7" s="54"/>
      <c r="N7" s="54"/>
      <c r="O7" s="54"/>
      <c r="P7" s="54"/>
      <c r="Q7" s="54"/>
    </row>
    <row r="8" spans="1:17" s="18" customFormat="1" ht="37.549999999999997" customHeight="1" x14ac:dyDescent="0.3">
      <c r="B8" s="14" t="s" vm="135">
        <v>197</v>
      </c>
      <c r="C8" s="190" vm="1390">
        <v>246000.72</v>
      </c>
      <c r="D8" s="181">
        <v>0.37</v>
      </c>
      <c r="E8" s="190" vm="728">
        <v>105128.86</v>
      </c>
      <c r="F8" s="181">
        <v>0.14000000000000001</v>
      </c>
      <c r="G8" s="313">
        <v>-57.26481613549749</v>
      </c>
      <c r="H8" s="213" vm="1089">
        <v>34</v>
      </c>
      <c r="I8" s="181">
        <v>0.09</v>
      </c>
      <c r="J8" s="189" vm="1560">
        <v>25</v>
      </c>
      <c r="K8" s="181">
        <v>0.08</v>
      </c>
      <c r="L8" s="181">
        <v>-26.470588235294116</v>
      </c>
    </row>
    <row r="9" spans="1:17" s="18" customFormat="1" ht="37.549999999999997" customHeight="1" x14ac:dyDescent="0.3">
      <c r="B9" s="14" t="s" vm="110">
        <v>198</v>
      </c>
      <c r="C9" s="190" vm="1464">
        <v>69271.790000000008</v>
      </c>
      <c r="D9" s="181">
        <v>0.1</v>
      </c>
      <c r="E9" s="190" vm="1882">
        <v>3075.45</v>
      </c>
      <c r="F9" s="181">
        <v>0</v>
      </c>
      <c r="G9" s="313">
        <v>-95.560313945980027</v>
      </c>
      <c r="H9" s="213" vm="1490">
        <v>10</v>
      </c>
      <c r="I9" s="181">
        <v>0.03</v>
      </c>
      <c r="J9" s="189" vm="1750">
        <v>4</v>
      </c>
      <c r="K9" s="181">
        <v>0.01</v>
      </c>
      <c r="L9" s="181">
        <v>-60</v>
      </c>
    </row>
    <row r="10" spans="1:17" s="18" customFormat="1" ht="37.549999999999997" customHeight="1" x14ac:dyDescent="0.3">
      <c r="B10" s="14" t="s" vm="88">
        <v>199</v>
      </c>
      <c r="C10" s="190" vm="1609">
        <v>11925</v>
      </c>
      <c r="D10" s="181">
        <v>0.02</v>
      </c>
      <c r="E10" s="190" vm="1763">
        <v>0</v>
      </c>
      <c r="F10" s="181">
        <v>0</v>
      </c>
      <c r="G10" s="313" t="s">
        <v>145</v>
      </c>
      <c r="H10" s="213" vm="1452">
        <v>1</v>
      </c>
      <c r="I10" s="181">
        <v>0</v>
      </c>
      <c r="J10" s="189" vm="1770">
        <v>0</v>
      </c>
      <c r="K10" s="181">
        <v>0</v>
      </c>
      <c r="L10" s="181" t="s">
        <v>145</v>
      </c>
    </row>
    <row r="11" spans="1:17" s="18" customFormat="1" ht="35.450000000000003" customHeight="1" x14ac:dyDescent="0.3">
      <c r="B11" s="14" t="s" vm="157">
        <v>200</v>
      </c>
      <c r="C11" s="190" vm="971">
        <v>1092500.93</v>
      </c>
      <c r="D11" s="181">
        <v>1.65</v>
      </c>
      <c r="E11" s="190" vm="1564">
        <v>1401889</v>
      </c>
      <c r="F11" s="181">
        <v>1.87</v>
      </c>
      <c r="G11" s="313">
        <v>28.319250034871828</v>
      </c>
      <c r="H11" s="213" vm="1827">
        <v>60</v>
      </c>
      <c r="I11" s="181">
        <v>0.16</v>
      </c>
      <c r="J11" s="189" vm="1395">
        <v>69</v>
      </c>
      <c r="K11" s="181">
        <v>0.21</v>
      </c>
      <c r="L11" s="181">
        <v>14.999999999999986</v>
      </c>
    </row>
    <row r="12" spans="1:17" s="18" customFormat="1" ht="35.450000000000003" customHeight="1" x14ac:dyDescent="0.3">
      <c r="B12" s="14" t="s" vm="134">
        <v>201</v>
      </c>
      <c r="C12" s="190" vm="1877">
        <v>0</v>
      </c>
      <c r="D12" s="181">
        <v>0</v>
      </c>
      <c r="E12" s="190" vm="1374">
        <v>435.79</v>
      </c>
      <c r="F12" s="181">
        <v>0</v>
      </c>
      <c r="G12" s="313" t="s">
        <v>145</v>
      </c>
      <c r="H12" s="213" vm="1592">
        <v>0</v>
      </c>
      <c r="I12" s="181">
        <v>0</v>
      </c>
      <c r="J12" s="189" vm="1422">
        <v>1</v>
      </c>
      <c r="K12" s="181">
        <v>0</v>
      </c>
      <c r="L12" s="181" t="s">
        <v>145</v>
      </c>
    </row>
    <row r="13" spans="1:17" s="18" customFormat="1" ht="35.450000000000003" customHeight="1" x14ac:dyDescent="0.3">
      <c r="B13" s="14" t="s" vm="109">
        <v>202</v>
      </c>
      <c r="C13" s="190" vm="1494">
        <v>2730826.3</v>
      </c>
      <c r="D13" s="181">
        <v>4.12</v>
      </c>
      <c r="E13" s="190" vm="1470">
        <v>2498629.5699999998</v>
      </c>
      <c r="F13" s="181">
        <v>3.33</v>
      </c>
      <c r="G13" s="313">
        <v>-8.5028011485021864</v>
      </c>
      <c r="H13" s="213" vm="1666">
        <v>16</v>
      </c>
      <c r="I13" s="181">
        <v>0.04</v>
      </c>
      <c r="J13" s="189" vm="1820">
        <v>18</v>
      </c>
      <c r="K13" s="181">
        <v>0.06</v>
      </c>
      <c r="L13" s="181">
        <v>12.5</v>
      </c>
    </row>
    <row r="14" spans="1:17" ht="38.25" customHeight="1" x14ac:dyDescent="0.3">
      <c r="B14" s="14" t="s" vm="87">
        <v>203</v>
      </c>
      <c r="C14" s="190" vm="1577">
        <v>41565578.75</v>
      </c>
      <c r="D14" s="181">
        <v>62.66</v>
      </c>
      <c r="E14" s="190" vm="1704">
        <v>48132677.439999998</v>
      </c>
      <c r="F14" s="181">
        <v>64.13</v>
      </c>
      <c r="G14" s="313">
        <v>15.799367860359695</v>
      </c>
      <c r="H14" s="213" vm="1408">
        <v>31183</v>
      </c>
      <c r="I14" s="181">
        <v>82.63</v>
      </c>
      <c r="J14" s="189" vm="1835">
        <v>26438</v>
      </c>
      <c r="K14" s="181">
        <v>80.84</v>
      </c>
      <c r="L14" s="181">
        <v>-15.216624442805369</v>
      </c>
    </row>
    <row r="15" spans="1:17" ht="37.549999999999997" customHeight="1" x14ac:dyDescent="0.3">
      <c r="B15" s="14" t="s" vm="156">
        <v>204</v>
      </c>
      <c r="C15" s="190" vm="1876">
        <v>0</v>
      </c>
      <c r="D15" s="181">
        <v>0</v>
      </c>
      <c r="E15" s="190" vm="1227">
        <v>0</v>
      </c>
      <c r="F15" s="181">
        <v>0</v>
      </c>
      <c r="G15" s="313" t="s">
        <v>145</v>
      </c>
      <c r="H15" s="213" vm="1917">
        <v>0</v>
      </c>
      <c r="I15" s="181">
        <v>0</v>
      </c>
      <c r="J15" s="189" vm="1411">
        <v>0</v>
      </c>
      <c r="K15" s="181">
        <v>0</v>
      </c>
      <c r="L15" s="181" t="s">
        <v>145</v>
      </c>
    </row>
    <row r="16" spans="1:17" ht="36" customHeight="1" x14ac:dyDescent="0.3">
      <c r="B16" s="14" t="s" vm="133">
        <v>205</v>
      </c>
      <c r="C16" s="190" vm="1745">
        <v>803036.98</v>
      </c>
      <c r="D16" s="181">
        <v>1.21</v>
      </c>
      <c r="E16" s="190" vm="1641">
        <v>222839.41</v>
      </c>
      <c r="F16" s="181">
        <v>0.3</v>
      </c>
      <c r="G16" s="313">
        <v>-72.250417409170865</v>
      </c>
      <c r="H16" s="213" vm="1029">
        <v>22</v>
      </c>
      <c r="I16" s="181">
        <v>0.06</v>
      </c>
      <c r="J16" s="189" vm="1920">
        <v>12</v>
      </c>
      <c r="K16" s="181">
        <v>0.04</v>
      </c>
      <c r="L16" s="181">
        <v>-45.45454545454546</v>
      </c>
    </row>
    <row r="17" spans="2:21" s="18" customFormat="1" ht="31.85" customHeight="1" x14ac:dyDescent="0.3">
      <c r="B17" s="14" t="s" vm="108">
        <v>206</v>
      </c>
      <c r="C17" s="190" vm="768">
        <v>3352646.7100000004</v>
      </c>
      <c r="D17" s="181">
        <v>5.05</v>
      </c>
      <c r="E17" s="190" vm="1530">
        <v>3144612.27</v>
      </c>
      <c r="F17" s="181">
        <v>4.1900000000000004</v>
      </c>
      <c r="G17" s="313">
        <v>-6.2050808807111224</v>
      </c>
      <c r="H17" s="213" vm="1648">
        <v>2272</v>
      </c>
      <c r="I17" s="181">
        <v>6.02</v>
      </c>
      <c r="J17" s="189" vm="1824">
        <v>2070</v>
      </c>
      <c r="K17" s="181">
        <v>6.33</v>
      </c>
      <c r="L17" s="181">
        <v>-8.890845070422543</v>
      </c>
    </row>
    <row r="18" spans="2:21" s="18" customFormat="1" ht="37.549999999999997" customHeight="1" x14ac:dyDescent="0.3">
      <c r="B18" s="14" t="s" vm="86">
        <v>207</v>
      </c>
      <c r="C18" s="190" vm="957">
        <v>4346.3100000000004</v>
      </c>
      <c r="D18" s="181">
        <v>0.01</v>
      </c>
      <c r="E18" s="190" vm="1282">
        <v>10589.56</v>
      </c>
      <c r="F18" s="181">
        <v>0.01</v>
      </c>
      <c r="G18" s="313">
        <v>143.64483895534369</v>
      </c>
      <c r="H18" s="213" vm="953">
        <v>0</v>
      </c>
      <c r="I18" s="181">
        <v>0</v>
      </c>
      <c r="J18" s="189" vm="1507">
        <v>5</v>
      </c>
      <c r="K18" s="181">
        <v>0.02</v>
      </c>
      <c r="L18" s="181" t="s">
        <v>145</v>
      </c>
    </row>
    <row r="19" spans="2:21" s="18" customFormat="1" ht="37.549999999999997" customHeight="1" x14ac:dyDescent="0.3">
      <c r="B19" s="14" t="s" vm="155">
        <v>208</v>
      </c>
      <c r="C19" s="190" vm="1553">
        <v>341432.37</v>
      </c>
      <c r="D19" s="181">
        <v>0.51</v>
      </c>
      <c r="E19" s="190" vm="1117">
        <v>210488.55</v>
      </c>
      <c r="F19" s="181">
        <v>0.28000000000000003</v>
      </c>
      <c r="G19" s="313">
        <v>-38.351319765024037</v>
      </c>
      <c r="H19" s="213" vm="919">
        <v>60</v>
      </c>
      <c r="I19" s="181">
        <v>0.16</v>
      </c>
      <c r="J19" s="189" vm="1825">
        <v>47</v>
      </c>
      <c r="K19" s="181">
        <v>0.14000000000000001</v>
      </c>
      <c r="L19" s="181">
        <v>-21.666666666666671</v>
      </c>
    </row>
    <row r="20" spans="2:21" s="18" customFormat="1" ht="37.549999999999997" customHeight="1" x14ac:dyDescent="0.3">
      <c r="B20" s="14" t="s" vm="132">
        <v>209</v>
      </c>
      <c r="C20" s="190" vm="1676">
        <v>213373.87</v>
      </c>
      <c r="D20" s="181">
        <v>0.32</v>
      </c>
      <c r="E20" s="190" vm="1849">
        <v>138391.87</v>
      </c>
      <c r="F20" s="181">
        <v>0.18</v>
      </c>
      <c r="G20" s="313">
        <v>-35.14113513524407</v>
      </c>
      <c r="H20" s="213" vm="1746">
        <v>11</v>
      </c>
      <c r="I20" s="181">
        <v>0.03</v>
      </c>
      <c r="J20" s="189" vm="1439">
        <v>10</v>
      </c>
      <c r="K20" s="181">
        <v>0.03</v>
      </c>
      <c r="L20" s="181">
        <v>-9.0909090909090935</v>
      </c>
    </row>
    <row r="21" spans="2:21" s="18" customFormat="1" ht="35.450000000000003" customHeight="1" x14ac:dyDescent="0.3">
      <c r="B21" s="14" t="s" vm="107">
        <v>210</v>
      </c>
      <c r="C21" s="190" vm="864">
        <v>2143894.3699999996</v>
      </c>
      <c r="D21" s="181">
        <v>3.23</v>
      </c>
      <c r="E21" s="190" vm="831">
        <v>3626683.2199999997</v>
      </c>
      <c r="F21" s="181">
        <v>4.83</v>
      </c>
      <c r="G21" s="313">
        <v>69.163335225326449</v>
      </c>
      <c r="H21" s="213" vm="1096">
        <v>27</v>
      </c>
      <c r="I21" s="181">
        <v>7.0000000000000007E-2</v>
      </c>
      <c r="J21" s="189" vm="834">
        <v>55</v>
      </c>
      <c r="K21" s="181">
        <v>0.17</v>
      </c>
      <c r="L21" s="181">
        <v>103.70370370370372</v>
      </c>
    </row>
    <row r="22" spans="2:21" s="18" customFormat="1" ht="35.450000000000003" customHeight="1" x14ac:dyDescent="0.3">
      <c r="B22" s="14" t="s" vm="85">
        <v>211</v>
      </c>
      <c r="C22" s="190" vm="1169">
        <v>1129498.6100000001</v>
      </c>
      <c r="D22" s="181">
        <v>1.7</v>
      </c>
      <c r="E22" s="190" vm="1403">
        <v>1394824.3899999997</v>
      </c>
      <c r="F22" s="181">
        <v>1.86</v>
      </c>
      <c r="G22" s="313">
        <v>23.490580479775858</v>
      </c>
      <c r="H22" s="213" vm="1699">
        <v>19</v>
      </c>
      <c r="I22" s="181">
        <v>0.05</v>
      </c>
      <c r="J22" s="189" vm="1572">
        <v>21</v>
      </c>
      <c r="K22" s="181">
        <v>0.06</v>
      </c>
      <c r="L22" s="181">
        <v>10.526315789473699</v>
      </c>
    </row>
    <row r="23" spans="2:21" s="18" customFormat="1" ht="35.450000000000003" customHeight="1" x14ac:dyDescent="0.3">
      <c r="B23" s="14" t="s" vm="154">
        <v>212</v>
      </c>
      <c r="C23" s="190" vm="1892">
        <v>802199.77</v>
      </c>
      <c r="D23" s="181">
        <v>1.21</v>
      </c>
      <c r="E23" s="190" vm="1713">
        <v>823210.65</v>
      </c>
      <c r="F23" s="181">
        <v>1.1000000000000001</v>
      </c>
      <c r="G23" s="313">
        <v>2.6191580683200755</v>
      </c>
      <c r="H23" s="213" vm="1417">
        <v>14</v>
      </c>
      <c r="I23" s="181">
        <v>0.04</v>
      </c>
      <c r="J23" s="189" vm="1586">
        <v>15</v>
      </c>
      <c r="K23" s="181">
        <v>0.05</v>
      </c>
      <c r="L23" s="181">
        <v>7.1428571428571388</v>
      </c>
    </row>
    <row r="24" spans="2:21" ht="38.25" customHeight="1" x14ac:dyDescent="0.3">
      <c r="B24" s="14" t="s" vm="131">
        <v>213</v>
      </c>
      <c r="C24" s="190" vm="1831">
        <v>184686.63000000003</v>
      </c>
      <c r="D24" s="181">
        <v>0.28000000000000003</v>
      </c>
      <c r="E24" s="190" vm="1459">
        <v>140467.74000000002</v>
      </c>
      <c r="F24" s="181">
        <v>0.19</v>
      </c>
      <c r="G24" s="313">
        <v>-23.942658978616919</v>
      </c>
      <c r="H24" s="213" vm="1902">
        <v>49</v>
      </c>
      <c r="I24" s="181">
        <v>0.13</v>
      </c>
      <c r="J24" s="189" vm="1856">
        <v>44</v>
      </c>
      <c r="K24" s="181">
        <v>0.13</v>
      </c>
      <c r="L24" s="181">
        <v>-10.204081632653057</v>
      </c>
    </row>
    <row r="25" spans="2:21" ht="37.549999999999997" customHeight="1" x14ac:dyDescent="0.3">
      <c r="B25" s="14" t="s" vm="106">
        <v>214</v>
      </c>
      <c r="C25" s="190" vm="1914">
        <v>3450472.9000000004</v>
      </c>
      <c r="D25" s="181">
        <v>5.2</v>
      </c>
      <c r="E25" s="190" vm="857">
        <v>4281013.84</v>
      </c>
      <c r="F25" s="181">
        <v>5.7</v>
      </c>
      <c r="G25" s="313">
        <v>24.070351052460069</v>
      </c>
      <c r="H25" s="213" vm="1171">
        <v>961</v>
      </c>
      <c r="I25" s="181">
        <v>2.5499999999999998</v>
      </c>
      <c r="J25" s="189" vm="853">
        <v>850</v>
      </c>
      <c r="K25" s="181">
        <v>2.6</v>
      </c>
      <c r="L25" s="181">
        <v>-11.550468262226843</v>
      </c>
    </row>
    <row r="26" spans="2:21" ht="36" customHeight="1" x14ac:dyDescent="0.3">
      <c r="B26" s="14" t="s" vm="84">
        <v>215</v>
      </c>
      <c r="C26" s="190" vm="749">
        <v>1158960.83</v>
      </c>
      <c r="D26" s="181">
        <v>1.75</v>
      </c>
      <c r="E26" s="190" vm="1052">
        <v>1125834.2</v>
      </c>
      <c r="F26" s="181">
        <v>1.5</v>
      </c>
      <c r="G26" s="313">
        <v>-2.85830453821292</v>
      </c>
      <c r="H26" s="213" vm="951">
        <v>65</v>
      </c>
      <c r="I26" s="181">
        <v>0.17</v>
      </c>
      <c r="J26" s="189" vm="1069">
        <v>71</v>
      </c>
      <c r="K26" s="181">
        <v>0.22</v>
      </c>
      <c r="L26" s="181">
        <v>9.2307692307692264</v>
      </c>
    </row>
    <row r="27" spans="2:21" s="18" customFormat="1" ht="31.85" customHeight="1" x14ac:dyDescent="0.3">
      <c r="B27" s="14" t="s" vm="153">
        <v>216</v>
      </c>
      <c r="C27" s="190" vm="1913">
        <v>7038137.9299999988</v>
      </c>
      <c r="D27" s="181">
        <v>10.61</v>
      </c>
      <c r="E27" s="190" vm="1843">
        <v>7795937.4700000016</v>
      </c>
      <c r="F27" s="181">
        <v>10.39</v>
      </c>
      <c r="G27" s="313">
        <v>10.767045879704767</v>
      </c>
      <c r="H27" s="213" vm="1585">
        <v>2932</v>
      </c>
      <c r="I27" s="181">
        <v>7.77</v>
      </c>
      <c r="J27" s="173" vm="1712">
        <v>2948</v>
      </c>
      <c r="K27" s="181">
        <v>9.01</v>
      </c>
      <c r="L27" s="181">
        <v>0.54570259208730931</v>
      </c>
    </row>
    <row r="28" spans="2:21" s="55" customFormat="1" ht="3.75" customHeight="1" thickBot="1" x14ac:dyDescent="0.35">
      <c r="B28" s="14"/>
      <c r="C28" s="190"/>
      <c r="D28" s="15"/>
      <c r="E28" s="238"/>
      <c r="F28" s="16"/>
      <c r="G28" s="39"/>
      <c r="H28" s="213"/>
      <c r="I28" s="16"/>
      <c r="J28" s="173"/>
      <c r="K28" s="16"/>
      <c r="L28" s="181"/>
      <c r="M28" s="70"/>
      <c r="N28" s="70"/>
      <c r="O28" s="70"/>
      <c r="P28" s="70"/>
      <c r="Q28" s="54"/>
      <c r="R28" s="54"/>
      <c r="S28" s="54"/>
      <c r="T28" s="54"/>
      <c r="U28" s="54"/>
    </row>
    <row r="29" spans="2:21" ht="37.549999999999997" customHeight="1" thickBot="1" x14ac:dyDescent="0.35">
      <c r="B29" s="268" t="s" vm="37">
        <v>217</v>
      </c>
      <c r="C29" s="315" vm="1259">
        <v>66338790.769999996</v>
      </c>
      <c r="D29" s="316">
        <v>100</v>
      </c>
      <c r="E29" s="315" vm="1742">
        <v>75056729.280000001</v>
      </c>
      <c r="F29" s="316">
        <v>100</v>
      </c>
      <c r="G29" s="317">
        <v>13.14153967657559</v>
      </c>
      <c r="H29" s="315" vm="1070">
        <v>37736</v>
      </c>
      <c r="I29" s="316">
        <v>99.999999999999972</v>
      </c>
      <c r="J29" s="269" vm="982">
        <v>32703</v>
      </c>
      <c r="K29" s="316">
        <v>100</v>
      </c>
      <c r="L29" s="317">
        <v>-13.337396650413396</v>
      </c>
    </row>
    <row r="30" spans="2:21" ht="23.3" hidden="1" customHeight="1" x14ac:dyDescent="0.3">
      <c r="B30" s="241" t="s">
        <v>66</v>
      </c>
      <c r="C30" s="275">
        <v>66338790.769999996</v>
      </c>
      <c r="D30" s="312"/>
      <c r="E30" s="277">
        <v>75056729.280000001</v>
      </c>
      <c r="F30" s="312"/>
      <c r="G30" s="301">
        <v>13.14153967657559</v>
      </c>
      <c r="H30" s="275">
        <v>37736</v>
      </c>
      <c r="I30" s="312"/>
      <c r="J30" s="275">
        <v>32703</v>
      </c>
      <c r="K30" s="312"/>
      <c r="L30" s="305">
        <v>-13.337396650413396</v>
      </c>
    </row>
    <row r="31" spans="2:21" x14ac:dyDescent="0.3">
      <c r="B31" s="75"/>
      <c r="C31" s="75"/>
      <c r="D31" s="75"/>
      <c r="E31" s="75"/>
      <c r="F31" s="75"/>
      <c r="G31" s="81"/>
      <c r="H31" s="75"/>
      <c r="I31" s="75"/>
      <c r="J31" s="75"/>
      <c r="K31" s="75"/>
      <c r="L31" s="81"/>
      <c r="M31" s="18"/>
      <c r="N31" s="18"/>
      <c r="O31" s="18"/>
      <c r="P31" s="18"/>
    </row>
    <row r="32" spans="2:21" x14ac:dyDescent="0.3">
      <c r="B32" s="75"/>
      <c r="C32" s="75"/>
      <c r="D32" s="75"/>
      <c r="E32" s="75"/>
      <c r="F32" s="75"/>
      <c r="G32" s="81"/>
      <c r="H32" s="75"/>
      <c r="I32" s="75"/>
      <c r="J32" s="75"/>
      <c r="K32" s="75"/>
      <c r="L32" s="81"/>
      <c r="M32" s="18"/>
      <c r="N32" s="18"/>
      <c r="O32" s="18"/>
      <c r="P32" s="18"/>
    </row>
  </sheetData>
  <mergeCells count="5">
    <mergeCell ref="B5:B6"/>
    <mergeCell ref="C5:G5"/>
    <mergeCell ref="H5:L5"/>
    <mergeCell ref="A1:M1"/>
    <mergeCell ref="A2:M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2" orientation="landscape" r:id="rId1"/>
  <customProperties>
    <customPr name="Version" r:id="rId2"/>
  </customPropertie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6" tint="0.39997558519241921"/>
    <pageSetUpPr fitToPage="1"/>
  </sheetPr>
  <dimension ref="A1:Q32"/>
  <sheetViews>
    <sheetView showGridLines="0" topLeftCell="A13" zoomScale="86" zoomScaleNormal="86" workbookViewId="0">
      <selection activeCell="A3" sqref="A3"/>
    </sheetView>
  </sheetViews>
  <sheetFormatPr defaultColWidth="9.296875" defaultRowHeight="14.4" x14ac:dyDescent="0.3"/>
  <cols>
    <col min="1" max="1" width="2.59765625" style="8" customWidth="1"/>
    <col min="2" max="2" width="67" style="8" bestFit="1" customWidth="1"/>
    <col min="3" max="4" width="16.69921875" style="8" bestFit="1" customWidth="1"/>
    <col min="5" max="5" width="11.59765625" style="61" bestFit="1" customWidth="1"/>
    <col min="6" max="7" width="13.59765625" style="8" bestFit="1" customWidth="1"/>
    <col min="8" max="8" width="11.59765625" style="61" customWidth="1"/>
    <col min="9" max="9" width="2.59765625" style="8" customWidth="1"/>
    <col min="10" max="16384" width="9.296875" style="8"/>
  </cols>
  <sheetData>
    <row r="1" spans="1:13" s="18" customFormat="1" ht="58.85" customHeight="1" x14ac:dyDescent="0.3">
      <c r="A1" s="372" t="s">
        <v>141</v>
      </c>
      <c r="B1" s="372"/>
      <c r="C1" s="372"/>
      <c r="D1" s="372"/>
      <c r="E1" s="372"/>
      <c r="F1" s="372"/>
      <c r="G1" s="372"/>
      <c r="H1" s="372"/>
      <c r="I1" s="372"/>
    </row>
    <row r="2" spans="1:13" s="18" customFormat="1" ht="13.15" x14ac:dyDescent="0.35">
      <c r="A2" s="347"/>
      <c r="B2" s="347"/>
      <c r="C2" s="347"/>
      <c r="D2" s="347"/>
      <c r="E2" s="347"/>
      <c r="F2" s="347"/>
      <c r="G2" s="347"/>
      <c r="H2" s="347"/>
      <c r="I2" s="347"/>
    </row>
    <row r="3" spans="1:13" ht="21.75" customHeight="1" x14ac:dyDescent="0.35"/>
    <row r="4" spans="1:13" ht="7.5" customHeight="1" thickBot="1" x14ac:dyDescent="0.4"/>
    <row r="5" spans="1:13" s="53" customFormat="1" ht="14.95" customHeight="1" x14ac:dyDescent="0.3">
      <c r="B5" s="369" t="s">
        <v>44</v>
      </c>
      <c r="C5" s="367" t="s">
        <v>65</v>
      </c>
      <c r="D5" s="367"/>
      <c r="E5" s="367"/>
      <c r="F5" s="367" t="s">
        <v>42</v>
      </c>
      <c r="G5" s="367"/>
      <c r="H5" s="368"/>
    </row>
    <row r="6" spans="1:13" s="54" customFormat="1" ht="23.85" thickBot="1" x14ac:dyDescent="0.35">
      <c r="B6" s="370"/>
      <c r="C6" s="6" t="s">
        <v>143</v>
      </c>
      <c r="D6" s="6" t="s">
        <v>144</v>
      </c>
      <c r="E6" s="22" t="s">
        <v>142</v>
      </c>
      <c r="F6" s="6" t="s">
        <v>143</v>
      </c>
      <c r="G6" s="6" t="s">
        <v>144</v>
      </c>
      <c r="H6" s="24" t="s">
        <v>142</v>
      </c>
    </row>
    <row r="7" spans="1:13" s="55" customFormat="1" ht="3.75" customHeight="1" x14ac:dyDescent="0.3">
      <c r="C7" s="54"/>
      <c r="D7" s="54"/>
      <c r="E7" s="56"/>
      <c r="F7" s="54"/>
      <c r="G7" s="54"/>
      <c r="H7" s="56"/>
      <c r="I7" s="54"/>
      <c r="J7" s="54"/>
      <c r="K7" s="54"/>
      <c r="L7" s="54"/>
      <c r="M7" s="54"/>
    </row>
    <row r="8" spans="1:13" s="18" customFormat="1" ht="37.549999999999997" customHeight="1" x14ac:dyDescent="0.3">
      <c r="B8" s="14" t="s" vm="135">
        <v>197</v>
      </c>
      <c r="C8" s="190" vm="1322">
        <v>392405.3</v>
      </c>
      <c r="D8" s="189" vm="1565">
        <v>108462.54000000001</v>
      </c>
      <c r="E8" s="313">
        <v>-72.35956293148945</v>
      </c>
      <c r="F8" s="213" vm="1053">
        <v>3</v>
      </c>
      <c r="G8" s="190" vm="1396">
        <v>2</v>
      </c>
      <c r="H8" s="218">
        <v>-33.333333333333343</v>
      </c>
    </row>
    <row r="9" spans="1:13" s="18" customFormat="1" ht="37.549999999999997" customHeight="1" x14ac:dyDescent="0.3">
      <c r="B9" s="14" t="s" vm="110">
        <v>198</v>
      </c>
      <c r="C9" s="190" vm="1660">
        <v>0</v>
      </c>
      <c r="D9" s="189" vm="1844">
        <v>0</v>
      </c>
      <c r="E9" s="307" t="s">
        <v>145</v>
      </c>
      <c r="F9" s="213" vm="1715">
        <v>0</v>
      </c>
      <c r="G9" s="190" vm="1589">
        <v>0</v>
      </c>
      <c r="H9" s="218" t="s">
        <v>145</v>
      </c>
    </row>
    <row r="10" spans="1:13" s="18" customFormat="1" ht="37.549999999999997" customHeight="1" x14ac:dyDescent="0.3">
      <c r="B10" s="14" t="s" vm="88">
        <v>199</v>
      </c>
      <c r="C10" s="190" vm="1753">
        <v>0</v>
      </c>
      <c r="D10" s="189" vm="1888">
        <v>0</v>
      </c>
      <c r="E10" s="307" t="s">
        <v>145</v>
      </c>
      <c r="F10" s="213" vm="1559">
        <v>0</v>
      </c>
      <c r="G10" s="190" vm="1685">
        <v>0</v>
      </c>
      <c r="H10" s="218" t="s">
        <v>145</v>
      </c>
    </row>
    <row r="11" spans="1:13" s="18" customFormat="1" ht="35.450000000000003" customHeight="1" x14ac:dyDescent="0.3">
      <c r="B11" s="14" t="s" vm="157">
        <v>200</v>
      </c>
      <c r="C11" s="190" vm="1485">
        <v>217.76</v>
      </c>
      <c r="D11" s="189" vm="1782">
        <v>96581.6</v>
      </c>
      <c r="E11" s="307">
        <v>44252.314474650993</v>
      </c>
      <c r="F11" s="213" vm="1388">
        <v>0</v>
      </c>
      <c r="G11" s="190" vm="1454">
        <v>2</v>
      </c>
      <c r="H11" s="218" t="s">
        <v>145</v>
      </c>
    </row>
    <row r="12" spans="1:13" s="18" customFormat="1" ht="35.450000000000003" customHeight="1" x14ac:dyDescent="0.3">
      <c r="B12" s="14" t="s" vm="134">
        <v>201</v>
      </c>
      <c r="C12" s="190" vm="1345">
        <v>0</v>
      </c>
      <c r="D12" s="189" vm="1518">
        <v>0</v>
      </c>
      <c r="E12" s="307" t="s">
        <v>145</v>
      </c>
      <c r="F12" s="213" vm="1523">
        <v>0</v>
      </c>
      <c r="G12" s="190" vm="1201">
        <v>0</v>
      </c>
      <c r="H12" s="218" t="s">
        <v>145</v>
      </c>
    </row>
    <row r="13" spans="1:13" s="18" customFormat="1" ht="35.450000000000003" customHeight="1" x14ac:dyDescent="0.3">
      <c r="B13" s="14" t="s" vm="109">
        <v>202</v>
      </c>
      <c r="C13" s="190" vm="1868">
        <v>2662935.6199999996</v>
      </c>
      <c r="D13" s="189" vm="1797">
        <v>1934321.63</v>
      </c>
      <c r="E13" s="307">
        <v>-27.361306992468698</v>
      </c>
      <c r="F13" s="213" vm="1805">
        <v>15</v>
      </c>
      <c r="G13" s="190" vm="1484">
        <v>11</v>
      </c>
      <c r="H13" s="218">
        <v>-26.666666666666671</v>
      </c>
    </row>
    <row r="14" spans="1:13" ht="38.25" customHeight="1" x14ac:dyDescent="0.3">
      <c r="B14" s="14" t="s" vm="87">
        <v>203</v>
      </c>
      <c r="C14" s="190" vm="1725">
        <v>15328105.480000002</v>
      </c>
      <c r="D14" s="189" vm="1599">
        <v>13102203.559999999</v>
      </c>
      <c r="E14" s="307">
        <v>-14.521702782541155</v>
      </c>
      <c r="F14" s="213" vm="1798">
        <v>1508</v>
      </c>
      <c r="G14" s="190" vm="1429">
        <v>1403</v>
      </c>
      <c r="H14" s="218">
        <v>-6.9628647214854027</v>
      </c>
    </row>
    <row r="15" spans="1:13" ht="37.549999999999997" customHeight="1" x14ac:dyDescent="0.3">
      <c r="B15" s="14" t="s" vm="156">
        <v>204</v>
      </c>
      <c r="C15" s="190" vm="1192">
        <v>0</v>
      </c>
      <c r="D15" s="189" vm="1775">
        <v>0</v>
      </c>
      <c r="E15" s="307" t="s">
        <v>145</v>
      </c>
      <c r="F15" s="213" vm="754">
        <v>0</v>
      </c>
      <c r="G15" s="190" vm="1538">
        <v>0</v>
      </c>
      <c r="H15" s="218" t="s">
        <v>145</v>
      </c>
    </row>
    <row r="16" spans="1:13" ht="36" customHeight="1" x14ac:dyDescent="0.3">
      <c r="B16" s="14" t="s" vm="133">
        <v>205</v>
      </c>
      <c r="C16" s="190" vm="1122">
        <v>0</v>
      </c>
      <c r="D16" s="189" vm="1055">
        <v>0</v>
      </c>
      <c r="E16" s="307" t="s">
        <v>145</v>
      </c>
      <c r="F16" s="213" vm="1563">
        <v>0</v>
      </c>
      <c r="G16" s="190" vm="1394">
        <v>0</v>
      </c>
      <c r="H16" s="218" t="s">
        <v>145</v>
      </c>
    </row>
    <row r="17" spans="2:17" s="18" customFormat="1" ht="31.85" customHeight="1" x14ac:dyDescent="0.3">
      <c r="B17" s="14" t="s" vm="108">
        <v>206</v>
      </c>
      <c r="C17" s="190" vm="1497">
        <v>45280.7</v>
      </c>
      <c r="D17" s="189" vm="1867">
        <v>49947.5</v>
      </c>
      <c r="E17" s="307">
        <v>10.306377772428448</v>
      </c>
      <c r="F17" s="213" vm="1448">
        <v>1</v>
      </c>
      <c r="G17" s="190" vm="1481">
        <v>8</v>
      </c>
      <c r="H17" s="218">
        <v>700</v>
      </c>
    </row>
    <row r="18" spans="2:17" s="18" customFormat="1" ht="37.549999999999997" customHeight="1" x14ac:dyDescent="0.3">
      <c r="B18" s="14" t="s" vm="86">
        <v>207</v>
      </c>
      <c r="C18" s="190" vm="1783">
        <v>1309</v>
      </c>
      <c r="D18" s="189" vm="1488">
        <v>2500</v>
      </c>
      <c r="E18" s="307">
        <v>90.985485103132163</v>
      </c>
      <c r="F18" s="213" vm="1857">
        <v>0</v>
      </c>
      <c r="G18" s="190" vm="1461">
        <v>0</v>
      </c>
      <c r="H18" s="218" t="s">
        <v>145</v>
      </c>
    </row>
    <row r="19" spans="2:17" s="18" customFormat="1" ht="37.549999999999997" customHeight="1" x14ac:dyDescent="0.3">
      <c r="B19" s="14" t="s" vm="155">
        <v>208</v>
      </c>
      <c r="C19" s="190" vm="1596">
        <v>0</v>
      </c>
      <c r="D19" s="189" vm="1540">
        <v>10342.050000000001</v>
      </c>
      <c r="E19" s="307" t="s">
        <v>145</v>
      </c>
      <c r="F19" s="213" vm="1426">
        <v>0</v>
      </c>
      <c r="G19" s="190" vm="1803">
        <v>1</v>
      </c>
      <c r="H19" s="218" t="s">
        <v>145</v>
      </c>
    </row>
    <row r="20" spans="2:17" s="18" customFormat="1" ht="37.549999999999997" customHeight="1" x14ac:dyDescent="0.3">
      <c r="B20" s="14" t="s" vm="132">
        <v>209</v>
      </c>
      <c r="C20" s="190" vm="973">
        <v>271746.76</v>
      </c>
      <c r="D20" s="189" vm="1664">
        <v>297136.58999999997</v>
      </c>
      <c r="E20" s="307">
        <v>9.34319511297943</v>
      </c>
      <c r="F20" s="213" vm="1073">
        <v>11</v>
      </c>
      <c r="G20" s="190" vm="1240">
        <v>27</v>
      </c>
      <c r="H20" s="218">
        <v>145.45454545454547</v>
      </c>
    </row>
    <row r="21" spans="2:17" s="18" customFormat="1" ht="35.450000000000003" customHeight="1" x14ac:dyDescent="0.3">
      <c r="B21" s="14" t="s" vm="107">
        <v>210</v>
      </c>
      <c r="C21" s="190" vm="1650">
        <v>526361.72</v>
      </c>
      <c r="D21" s="189" vm="1489">
        <v>45520</v>
      </c>
      <c r="E21" s="307">
        <v>-91.351954697617444</v>
      </c>
      <c r="F21" s="213" vm="1858">
        <v>16</v>
      </c>
      <c r="G21" s="190" vm="1819">
        <v>2</v>
      </c>
      <c r="H21" s="218">
        <v>-87.5</v>
      </c>
    </row>
    <row r="22" spans="2:17" s="18" customFormat="1" ht="35.450000000000003" customHeight="1" x14ac:dyDescent="0.3">
      <c r="B22" s="14" t="s" vm="85">
        <v>211</v>
      </c>
      <c r="C22" s="190" vm="1437">
        <v>57391.040000000001</v>
      </c>
      <c r="D22" s="189" vm="1637">
        <v>25707.82</v>
      </c>
      <c r="E22" s="307">
        <v>-55.205864887620088</v>
      </c>
      <c r="F22" s="213" vm="1474">
        <v>4</v>
      </c>
      <c r="G22" s="190" vm="1678">
        <v>2</v>
      </c>
      <c r="H22" s="218">
        <v>-50</v>
      </c>
    </row>
    <row r="23" spans="2:17" s="18" customFormat="1" ht="35.450000000000003" customHeight="1" x14ac:dyDescent="0.3">
      <c r="B23" s="14" t="s" vm="154">
        <v>212</v>
      </c>
      <c r="C23" s="190" vm="1683">
        <v>61200.75</v>
      </c>
      <c r="D23" s="189" vm="1654">
        <v>51458.68</v>
      </c>
      <c r="E23" s="307">
        <v>-15.918219956454777</v>
      </c>
      <c r="F23" s="213" vm="817">
        <v>1</v>
      </c>
      <c r="G23" s="190" vm="1370">
        <v>2</v>
      </c>
      <c r="H23" s="218">
        <v>100</v>
      </c>
    </row>
    <row r="24" spans="2:17" ht="38.25" customHeight="1" x14ac:dyDescent="0.3">
      <c r="B24" s="14" t="s" vm="131">
        <v>213</v>
      </c>
      <c r="C24" s="190" vm="707">
        <v>1300</v>
      </c>
      <c r="D24" s="189" vm="1235">
        <v>2100</v>
      </c>
      <c r="E24" s="307">
        <v>61.538461538461547</v>
      </c>
      <c r="F24" s="213" vm="1522">
        <v>1</v>
      </c>
      <c r="G24" s="190" vm="1927">
        <v>2</v>
      </c>
      <c r="H24" s="218">
        <v>100</v>
      </c>
    </row>
    <row r="25" spans="2:17" ht="37.549999999999997" customHeight="1" x14ac:dyDescent="0.3">
      <c r="B25" s="14" t="s" vm="106">
        <v>214</v>
      </c>
      <c r="C25" s="190" vm="1595">
        <v>988677.55</v>
      </c>
      <c r="D25" s="189" vm="1425">
        <v>350601.39999999997</v>
      </c>
      <c r="E25" s="307">
        <v>-64.538347209360637</v>
      </c>
      <c r="F25" s="213" vm="1721">
        <v>10</v>
      </c>
      <c r="G25" s="190" vm="1539">
        <v>2</v>
      </c>
      <c r="H25" s="218">
        <v>-80</v>
      </c>
    </row>
    <row r="26" spans="2:17" ht="36" customHeight="1" x14ac:dyDescent="0.3">
      <c r="B26" s="14" t="s" vm="84">
        <v>215</v>
      </c>
      <c r="C26" s="190" vm="1060">
        <v>0</v>
      </c>
      <c r="D26" s="189" vm="1682">
        <v>3011.2500000000005</v>
      </c>
      <c r="E26" s="307" t="s">
        <v>145</v>
      </c>
      <c r="F26" s="213" vm="1743">
        <v>0</v>
      </c>
      <c r="G26" s="190" vm="1508">
        <v>1</v>
      </c>
      <c r="H26" s="218" t="s">
        <v>145</v>
      </c>
    </row>
    <row r="27" spans="2:17" s="18" customFormat="1" ht="31.85" customHeight="1" x14ac:dyDescent="0.3">
      <c r="B27" s="14" t="s" vm="153">
        <v>216</v>
      </c>
      <c r="C27" s="190" vm="1935">
        <v>2178460.0499999998</v>
      </c>
      <c r="D27" s="189" vm="1094">
        <v>4027436.29</v>
      </c>
      <c r="E27" s="307">
        <v>84.875379743594578</v>
      </c>
      <c r="F27" s="213" vm="1533">
        <v>289</v>
      </c>
      <c r="G27" s="190" vm="1634">
        <v>225</v>
      </c>
      <c r="H27" s="218">
        <v>-22.145328719723182</v>
      </c>
    </row>
    <row r="28" spans="2:17" s="55" customFormat="1" ht="3.75" customHeight="1" thickBot="1" x14ac:dyDescent="0.35">
      <c r="B28" s="14"/>
      <c r="C28" s="190"/>
      <c r="D28" s="189"/>
      <c r="E28" s="307"/>
      <c r="F28" s="213"/>
      <c r="G28" s="190"/>
      <c r="H28" s="218"/>
      <c r="I28" s="70"/>
      <c r="J28" s="70"/>
      <c r="K28" s="70"/>
      <c r="L28" s="70"/>
      <c r="M28" s="54"/>
      <c r="N28" s="54"/>
      <c r="O28" s="54"/>
      <c r="P28" s="54"/>
      <c r="Q28" s="54"/>
    </row>
    <row r="29" spans="2:17" ht="37.549999999999997" customHeight="1" thickBot="1" x14ac:dyDescent="0.35">
      <c r="B29" s="268" t="s" vm="37">
        <v>217</v>
      </c>
      <c r="C29" s="315" vm="1930">
        <v>22515391.73</v>
      </c>
      <c r="D29" s="318" vm="1455">
        <v>20107330.91</v>
      </c>
      <c r="E29" s="319">
        <v>-10.695176210465164</v>
      </c>
      <c r="F29" s="315" vm="1854">
        <v>1859</v>
      </c>
      <c r="G29" s="315" vm="1352">
        <v>1690</v>
      </c>
      <c r="H29" s="320">
        <v>-9.0909090909090935</v>
      </c>
    </row>
    <row r="30" spans="2:17" ht="23.3" hidden="1" customHeight="1" x14ac:dyDescent="0.3">
      <c r="B30" s="25" t="s">
        <v>66</v>
      </c>
      <c r="C30" s="193">
        <v>22515391.73</v>
      </c>
      <c r="D30" s="200">
        <v>20107330.91</v>
      </c>
      <c r="E30" s="309">
        <v>-10.695176210465164</v>
      </c>
      <c r="F30" s="193">
        <v>1859</v>
      </c>
      <c r="G30" s="194">
        <v>1690</v>
      </c>
      <c r="H30" s="209">
        <v>-9.0909090909090935</v>
      </c>
    </row>
    <row r="31" spans="2:17" x14ac:dyDescent="0.3">
      <c r="B31" s="75"/>
      <c r="C31" s="75"/>
      <c r="D31" s="75"/>
      <c r="E31" s="81"/>
      <c r="F31" s="75"/>
      <c r="G31" s="75"/>
      <c r="H31" s="81"/>
      <c r="I31" s="18"/>
      <c r="J31" s="18"/>
      <c r="K31" s="18"/>
      <c r="L31" s="18"/>
    </row>
    <row r="32" spans="2:17" x14ac:dyDescent="0.3">
      <c r="B32" s="75"/>
      <c r="C32" s="75"/>
      <c r="D32" s="75"/>
      <c r="E32" s="81"/>
      <c r="F32" s="75"/>
      <c r="G32" s="75"/>
      <c r="H32" s="81"/>
      <c r="I32" s="18"/>
      <c r="J32" s="18"/>
      <c r="K32" s="18"/>
      <c r="L32" s="18"/>
    </row>
  </sheetData>
  <mergeCells count="5">
    <mergeCell ref="A1:I1"/>
    <mergeCell ref="A2:I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1" orientation="landscape" r:id="rId1"/>
  <customProperties>
    <customPr name="Version" r:id="rId2"/>
  </customPropertie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6" tint="0.39997558519241921"/>
    <pageSetUpPr fitToPage="1"/>
  </sheetPr>
  <dimension ref="A1:U41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2.69921875" style="8" customWidth="1"/>
    <col min="2" max="2" width="47.3984375" style="8" customWidth="1"/>
    <col min="3" max="3" width="16.69921875" style="8" bestFit="1" customWidth="1"/>
    <col min="4" max="4" width="11.296875" style="8" bestFit="1" customWidth="1"/>
    <col min="5" max="5" width="16.69921875" style="8" bestFit="1" customWidth="1"/>
    <col min="6" max="6" width="11.296875" style="8" bestFit="1" customWidth="1"/>
    <col min="7" max="7" width="11.59765625" style="61" bestFit="1" customWidth="1"/>
    <col min="8" max="8" width="13.59765625" style="8" bestFit="1" customWidth="1"/>
    <col min="9" max="9" width="12.296875" style="8" bestFit="1" customWidth="1"/>
    <col min="10" max="10" width="13.59765625" style="8" bestFit="1" customWidth="1"/>
    <col min="11" max="11" width="12.296875" style="8" bestFit="1" customWidth="1"/>
    <col min="12" max="12" width="11.59765625" style="61" customWidth="1"/>
    <col min="13" max="16384" width="9.296875" style="8"/>
  </cols>
  <sheetData>
    <row r="1" spans="1:21" s="18" customFormat="1" ht="58.85" customHeight="1" x14ac:dyDescent="0.3">
      <c r="A1" s="374" t="s">
        <v>141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</row>
    <row r="2" spans="1:21" s="18" customFormat="1" ht="13.15" x14ac:dyDescent="0.3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21" ht="21.75" customHeight="1" x14ac:dyDescent="0.35"/>
    <row r="4" spans="1:21" ht="4.8499999999999996" customHeight="1" thickBot="1" x14ac:dyDescent="0.4"/>
    <row r="5" spans="1:21" s="53" customFormat="1" ht="14.95" customHeight="1" x14ac:dyDescent="0.3">
      <c r="B5" s="369" t="s">
        <v>44</v>
      </c>
      <c r="C5" s="367" t="s">
        <v>37</v>
      </c>
      <c r="D5" s="367"/>
      <c r="E5" s="367"/>
      <c r="F5" s="367"/>
      <c r="G5" s="367"/>
      <c r="H5" s="367" t="s">
        <v>41</v>
      </c>
      <c r="I5" s="367"/>
      <c r="J5" s="367"/>
      <c r="K5" s="367"/>
      <c r="L5" s="368"/>
    </row>
    <row r="6" spans="1:21" s="54" customFormat="1" ht="23.85" thickBot="1" x14ac:dyDescent="0.35">
      <c r="B6" s="370"/>
      <c r="C6" s="6" t="s">
        <v>143</v>
      </c>
      <c r="D6" s="6" t="s">
        <v>38</v>
      </c>
      <c r="E6" s="6" t="s">
        <v>144</v>
      </c>
      <c r="F6" s="6" t="s">
        <v>38</v>
      </c>
      <c r="G6" s="22" t="s">
        <v>142</v>
      </c>
      <c r="H6" s="6" t="s">
        <v>143</v>
      </c>
      <c r="I6" s="6" t="s">
        <v>38</v>
      </c>
      <c r="J6" s="6" t="s">
        <v>144</v>
      </c>
      <c r="K6" s="6" t="s">
        <v>38</v>
      </c>
      <c r="L6" s="24" t="s">
        <v>195</v>
      </c>
    </row>
    <row r="7" spans="1:21" s="55" customFormat="1" ht="3.05" customHeight="1" x14ac:dyDescent="0.3">
      <c r="C7" s="54"/>
      <c r="D7" s="54"/>
      <c r="E7" s="54"/>
      <c r="F7" s="54"/>
      <c r="G7" s="56"/>
      <c r="H7" s="54"/>
      <c r="I7" s="54"/>
      <c r="J7" s="54"/>
      <c r="K7" s="54"/>
      <c r="L7" s="56"/>
      <c r="M7" s="54"/>
      <c r="N7" s="54"/>
      <c r="O7" s="54"/>
      <c r="P7" s="54"/>
      <c r="Q7" s="54"/>
    </row>
    <row r="8" spans="1:21" s="18" customFormat="1" ht="37.549999999999997" customHeight="1" x14ac:dyDescent="0.3">
      <c r="B8" s="14" t="s" vm="105">
        <v>174</v>
      </c>
      <c r="C8" s="190" vm="1733">
        <v>1139266.1000000001</v>
      </c>
      <c r="D8" s="181">
        <v>5.37</v>
      </c>
      <c r="E8" s="190" vm="1438">
        <v>2029786.85</v>
      </c>
      <c r="F8" s="182">
        <v>8.65</v>
      </c>
      <c r="G8" s="313">
        <v>78.16617645342032</v>
      </c>
      <c r="H8" s="213" vm="1899">
        <v>41</v>
      </c>
      <c r="I8" s="218">
        <v>0.85</v>
      </c>
      <c r="J8" s="190" vm="1214">
        <v>41</v>
      </c>
      <c r="K8" s="218">
        <v>0.84</v>
      </c>
      <c r="L8" s="215">
        <v>0</v>
      </c>
    </row>
    <row r="9" spans="1:21" s="18" customFormat="1" ht="37.549999999999997" customHeight="1" x14ac:dyDescent="0.3">
      <c r="B9" s="14" t="s" vm="83">
        <v>175</v>
      </c>
      <c r="C9" s="190" vm="840">
        <v>19399174.68</v>
      </c>
      <c r="D9" s="181">
        <v>91.34</v>
      </c>
      <c r="E9" s="190" vm="1203">
        <v>20604816.849999998</v>
      </c>
      <c r="F9" s="182">
        <v>87.78</v>
      </c>
      <c r="G9" s="313">
        <v>6.2149147573941974</v>
      </c>
      <c r="H9" s="213" vm="879">
        <v>4725</v>
      </c>
      <c r="I9" s="218">
        <v>97.14</v>
      </c>
      <c r="J9" s="190" vm="1908">
        <v>4682</v>
      </c>
      <c r="K9" s="218">
        <v>96.54</v>
      </c>
      <c r="L9" s="215">
        <v>-0.91005291005291156</v>
      </c>
    </row>
    <row r="10" spans="1:21" s="18" customFormat="1" ht="37.549999999999997" customHeight="1" x14ac:dyDescent="0.3">
      <c r="B10" s="14" t="s" vm="152">
        <v>176</v>
      </c>
      <c r="C10" s="190" vm="1800">
        <v>699328.60000000009</v>
      </c>
      <c r="D10" s="181">
        <v>3.29</v>
      </c>
      <c r="E10" s="190" vm="1362">
        <v>837487.1399999999</v>
      </c>
      <c r="F10" s="182">
        <v>3.57</v>
      </c>
      <c r="G10" s="313">
        <v>19.755882999780042</v>
      </c>
      <c r="H10" s="213" vm="1329">
        <v>98</v>
      </c>
      <c r="I10" s="218">
        <v>2.0099999999999998</v>
      </c>
      <c r="J10" s="190" vm="1690">
        <v>127</v>
      </c>
      <c r="K10" s="218">
        <v>2.62</v>
      </c>
      <c r="L10" s="215">
        <v>29.591836734693885</v>
      </c>
    </row>
    <row r="11" spans="1:21" s="55" customFormat="1" ht="3.05" customHeight="1" thickBot="1" x14ac:dyDescent="0.35">
      <c r="B11" s="69"/>
      <c r="C11" s="190"/>
      <c r="D11" s="70"/>
      <c r="E11" s="190"/>
      <c r="F11" s="188"/>
      <c r="G11" s="237"/>
      <c r="H11" s="213"/>
      <c r="I11" s="222"/>
      <c r="J11" s="190"/>
      <c r="K11" s="222"/>
      <c r="L11" s="215"/>
      <c r="M11" s="70"/>
      <c r="N11" s="70"/>
      <c r="O11" s="70"/>
      <c r="P11" s="70"/>
      <c r="Q11" s="54"/>
      <c r="R11" s="54"/>
      <c r="S11" s="54"/>
      <c r="T11" s="54"/>
      <c r="U11" s="54"/>
    </row>
    <row r="12" spans="1:21" ht="37.549999999999997" customHeight="1" thickBot="1" x14ac:dyDescent="0.35">
      <c r="B12" s="110" t="s" vm="42">
        <v>177</v>
      </c>
      <c r="C12" s="192" vm="1923">
        <v>21237769.379999999</v>
      </c>
      <c r="D12" s="216">
        <v>100.00000000000001</v>
      </c>
      <c r="E12" s="192" vm="908">
        <v>23472090.839999996</v>
      </c>
      <c r="F12" s="203">
        <v>100</v>
      </c>
      <c r="G12" s="314">
        <v>10.520509098776159</v>
      </c>
      <c r="H12" s="192" vm="1643">
        <v>4864</v>
      </c>
      <c r="I12" s="216">
        <v>100</v>
      </c>
      <c r="J12" s="192" vm="1232">
        <v>4850</v>
      </c>
      <c r="K12" s="216">
        <v>100.00000000000001</v>
      </c>
      <c r="L12" s="294">
        <v>-0.28782894736842479</v>
      </c>
    </row>
    <row r="13" spans="1:21" s="55" customFormat="1" ht="3.05" customHeight="1" x14ac:dyDescent="0.3">
      <c r="B13" s="69"/>
      <c r="C13" s="190"/>
      <c r="D13" s="222"/>
      <c r="E13" s="190"/>
      <c r="F13" s="188"/>
      <c r="G13" s="237"/>
      <c r="H13" s="213"/>
      <c r="I13" s="222"/>
      <c r="J13" s="190"/>
      <c r="K13" s="222"/>
      <c r="L13" s="215"/>
      <c r="M13" s="70"/>
      <c r="N13" s="70"/>
      <c r="O13" s="70"/>
      <c r="P13" s="70"/>
      <c r="Q13" s="54"/>
      <c r="R13" s="54"/>
      <c r="S13" s="54"/>
      <c r="T13" s="54"/>
      <c r="U13" s="54"/>
    </row>
    <row r="14" spans="1:21" s="18" customFormat="1" ht="35.450000000000003" customHeight="1" x14ac:dyDescent="0.3">
      <c r="B14" s="14" t="s" vm="104">
        <v>178</v>
      </c>
      <c r="C14" s="190" vm="1795">
        <v>249376.96999999997</v>
      </c>
      <c r="D14" s="218">
        <v>19.61</v>
      </c>
      <c r="E14" s="190" vm="1593">
        <v>359209.18000000005</v>
      </c>
      <c r="F14" s="182">
        <v>43.04</v>
      </c>
      <c r="G14" s="313">
        <v>44.042643552850961</v>
      </c>
      <c r="H14" s="213" vm="1138">
        <v>83</v>
      </c>
      <c r="I14" s="218">
        <v>54.97</v>
      </c>
      <c r="J14" s="190" vm="1719">
        <v>112</v>
      </c>
      <c r="K14" s="218">
        <v>86.82</v>
      </c>
      <c r="L14" s="215">
        <v>34.939759036144579</v>
      </c>
    </row>
    <row r="15" spans="1:21" s="18" customFormat="1" ht="35.450000000000003" customHeight="1" x14ac:dyDescent="0.3">
      <c r="B15" s="14" t="s" vm="82">
        <v>179</v>
      </c>
      <c r="C15" s="190" vm="1895">
        <v>1022130.6300000001</v>
      </c>
      <c r="D15" s="218">
        <v>80.39</v>
      </c>
      <c r="E15" s="190" vm="1208">
        <v>475452.31</v>
      </c>
      <c r="F15" s="182">
        <v>56.96</v>
      </c>
      <c r="G15" s="313">
        <v>-53.484193111403002</v>
      </c>
      <c r="H15" s="213" vm="1687">
        <v>68</v>
      </c>
      <c r="I15" s="218">
        <v>45.03</v>
      </c>
      <c r="J15" s="190" vm="863">
        <v>17</v>
      </c>
      <c r="K15" s="218">
        <v>13.18</v>
      </c>
      <c r="L15" s="215">
        <v>-75</v>
      </c>
    </row>
    <row r="16" spans="1:21" ht="3.75" customHeight="1" thickBot="1" x14ac:dyDescent="0.35">
      <c r="B16" s="26"/>
      <c r="C16" s="190"/>
      <c r="D16" s="218"/>
      <c r="E16" s="190"/>
      <c r="F16" s="239"/>
      <c r="G16" s="227"/>
      <c r="H16" s="213"/>
      <c r="I16" s="236"/>
      <c r="J16" s="190"/>
      <c r="K16" s="236"/>
      <c r="L16" s="215"/>
    </row>
    <row r="17" spans="2:21" ht="37.549999999999997" customHeight="1" thickBot="1" x14ac:dyDescent="0.35">
      <c r="B17" s="110" t="s" vm="33">
        <v>180</v>
      </c>
      <c r="C17" s="192" vm="1430">
        <v>1271507.6000000001</v>
      </c>
      <c r="D17" s="216">
        <v>100</v>
      </c>
      <c r="E17" s="192" vm="1600">
        <v>834661.49</v>
      </c>
      <c r="F17" s="203">
        <v>100</v>
      </c>
      <c r="G17" s="314">
        <v>-34.356547298655556</v>
      </c>
      <c r="H17" s="192" vm="1768">
        <v>151</v>
      </c>
      <c r="I17" s="216">
        <v>100</v>
      </c>
      <c r="J17" s="192" vm="1101">
        <v>129</v>
      </c>
      <c r="K17" s="216">
        <v>100</v>
      </c>
      <c r="L17" s="294">
        <v>-14.569536423841058</v>
      </c>
    </row>
    <row r="18" spans="2:21" ht="4.8499999999999996" customHeight="1" x14ac:dyDescent="0.3">
      <c r="B18" s="31"/>
      <c r="C18" s="190"/>
      <c r="D18" s="217"/>
      <c r="E18" s="190"/>
      <c r="F18" s="204"/>
      <c r="G18" s="227"/>
      <c r="H18" s="213"/>
      <c r="I18" s="217"/>
      <c r="J18" s="190"/>
      <c r="K18" s="217"/>
      <c r="L18" s="215"/>
    </row>
    <row r="19" spans="2:21" ht="38.25" customHeight="1" x14ac:dyDescent="0.3">
      <c r="B19" s="14" t="s" vm="130">
        <v>181</v>
      </c>
      <c r="C19" s="190" vm="1851">
        <v>17071405.990000002</v>
      </c>
      <c r="D19" s="218">
        <v>53.76</v>
      </c>
      <c r="E19" s="190" vm="1607">
        <v>17676563.410000004</v>
      </c>
      <c r="F19" s="182">
        <v>55.39</v>
      </c>
      <c r="G19" s="313">
        <v>3.5448598689204971</v>
      </c>
      <c r="H19" s="213" vm="1447">
        <v>610</v>
      </c>
      <c r="I19" s="218">
        <v>1.47</v>
      </c>
      <c r="J19" s="190" vm="1740">
        <v>707</v>
      </c>
      <c r="K19" s="218">
        <v>5.76</v>
      </c>
      <c r="L19" s="215">
        <v>15.901639344262293</v>
      </c>
    </row>
    <row r="20" spans="2:21" ht="38.25" customHeight="1" x14ac:dyDescent="0.3">
      <c r="B20" s="14" t="s" vm="103">
        <v>182</v>
      </c>
      <c r="C20" s="190" vm="1467">
        <v>731751.17</v>
      </c>
      <c r="D20" s="218">
        <v>2.2999999999999998</v>
      </c>
      <c r="E20" s="190" vm="1925">
        <v>245305.87</v>
      </c>
      <c r="F20" s="182">
        <v>0.77</v>
      </c>
      <c r="G20" s="313">
        <v>-66.476873552521965</v>
      </c>
      <c r="H20" s="213" vm="1492">
        <v>25</v>
      </c>
      <c r="I20" s="218">
        <v>0.06</v>
      </c>
      <c r="J20" s="190" vm="1860">
        <v>24</v>
      </c>
      <c r="K20" s="218">
        <v>0.2</v>
      </c>
      <c r="L20" s="215">
        <v>-4</v>
      </c>
    </row>
    <row r="21" spans="2:21" ht="38.25" customHeight="1" x14ac:dyDescent="0.3">
      <c r="B21" s="14" t="s" vm="81">
        <v>183</v>
      </c>
      <c r="C21" s="190" vm="1015">
        <v>0</v>
      </c>
      <c r="D21" s="218">
        <v>0</v>
      </c>
      <c r="E21" s="190" vm="1656">
        <v>0</v>
      </c>
      <c r="F21" s="182">
        <v>0</v>
      </c>
      <c r="G21" s="313" t="s">
        <v>145</v>
      </c>
      <c r="H21" s="213" vm="1693">
        <v>0</v>
      </c>
      <c r="I21" s="218">
        <v>0</v>
      </c>
      <c r="J21" s="190" vm="1566">
        <v>0</v>
      </c>
      <c r="K21" s="218">
        <v>0</v>
      </c>
      <c r="L21" s="291" t="s">
        <v>145</v>
      </c>
    </row>
    <row r="22" spans="2:21" ht="37.549999999999997" customHeight="1" x14ac:dyDescent="0.3">
      <c r="B22" s="14" t="s" vm="151">
        <v>184</v>
      </c>
      <c r="C22" s="190" vm="1161">
        <v>273713.17000000004</v>
      </c>
      <c r="D22" s="218">
        <v>0.86</v>
      </c>
      <c r="E22" s="190" vm="1188">
        <v>245954.65</v>
      </c>
      <c r="F22" s="182">
        <v>0.77</v>
      </c>
      <c r="G22" s="313">
        <v>-10.14146305053572</v>
      </c>
      <c r="H22" s="213" vm="858">
        <v>10</v>
      </c>
      <c r="I22" s="218">
        <v>0.02</v>
      </c>
      <c r="J22" s="190" vm="1268">
        <v>10</v>
      </c>
      <c r="K22" s="218">
        <v>0.08</v>
      </c>
      <c r="L22" s="215">
        <v>0</v>
      </c>
    </row>
    <row r="23" spans="2:21" ht="36" customHeight="1" x14ac:dyDescent="0.3">
      <c r="B23" s="14" t="s" vm="129">
        <v>185</v>
      </c>
      <c r="C23" s="190" vm="1460">
        <v>767381.5</v>
      </c>
      <c r="D23" s="218">
        <v>2.42</v>
      </c>
      <c r="E23" s="190" vm="1612">
        <v>818241.82999999984</v>
      </c>
      <c r="F23" s="182">
        <v>2.56</v>
      </c>
      <c r="G23" s="313">
        <v>6.6277764058685165</v>
      </c>
      <c r="H23" s="213" vm="1354">
        <v>4287</v>
      </c>
      <c r="I23" s="218">
        <v>10.32</v>
      </c>
      <c r="J23" s="190" vm="1514">
        <v>4172</v>
      </c>
      <c r="K23" s="218">
        <v>34.03</v>
      </c>
      <c r="L23" s="215">
        <v>-2.6825285747608945</v>
      </c>
    </row>
    <row r="24" spans="2:21" s="18" customFormat="1" ht="31.85" customHeight="1" x14ac:dyDescent="0.3">
      <c r="B24" s="14" t="s" vm="102">
        <v>186</v>
      </c>
      <c r="C24" s="190" vm="766">
        <v>12911710.08</v>
      </c>
      <c r="D24" s="218">
        <v>40.659999999999997</v>
      </c>
      <c r="E24" s="190" vm="1314">
        <v>12926362.709999999</v>
      </c>
      <c r="F24" s="182">
        <v>40.51</v>
      </c>
      <c r="G24" s="313">
        <v>0.11348326371343376</v>
      </c>
      <c r="H24" s="213" vm="1248">
        <v>36622</v>
      </c>
      <c r="I24" s="218">
        <v>88.13</v>
      </c>
      <c r="J24" s="190" vm="1789">
        <v>7348</v>
      </c>
      <c r="K24" s="218">
        <v>59.93</v>
      </c>
      <c r="L24" s="215">
        <v>-79.935557861394784</v>
      </c>
    </row>
    <row r="25" spans="2:21" s="55" customFormat="1" ht="3.75" customHeight="1" thickBot="1" x14ac:dyDescent="0.35">
      <c r="C25" s="190"/>
      <c r="D25" s="218"/>
      <c r="E25" s="190"/>
      <c r="F25" s="182"/>
      <c r="G25" s="227"/>
      <c r="H25" s="213"/>
      <c r="I25" s="218"/>
      <c r="J25" s="190"/>
      <c r="K25" s="218"/>
      <c r="L25" s="215"/>
      <c r="M25" s="70"/>
      <c r="N25" s="70"/>
      <c r="O25" s="70"/>
      <c r="P25" s="70"/>
      <c r="Q25" s="54"/>
      <c r="R25" s="54"/>
      <c r="S25" s="54"/>
      <c r="T25" s="54"/>
      <c r="U25" s="54"/>
    </row>
    <row r="26" spans="2:21" ht="37.549999999999997" customHeight="1" thickBot="1" x14ac:dyDescent="0.35">
      <c r="B26" s="110" t="s" vm="49">
        <v>187</v>
      </c>
      <c r="C26" s="192" vm="961">
        <v>31755961.909999993</v>
      </c>
      <c r="D26" s="216">
        <v>100</v>
      </c>
      <c r="E26" s="192" vm="1389">
        <v>31912428.469999999</v>
      </c>
      <c r="F26" s="203">
        <v>100</v>
      </c>
      <c r="G26" s="314">
        <v>0.49271554249703797</v>
      </c>
      <c r="H26" s="192" vm="794">
        <v>41554</v>
      </c>
      <c r="I26" s="216">
        <v>100</v>
      </c>
      <c r="J26" s="192" vm="695">
        <v>12261</v>
      </c>
      <c r="K26" s="216">
        <v>100</v>
      </c>
      <c r="L26" s="294">
        <v>-70.493815276507675</v>
      </c>
    </row>
    <row r="27" spans="2:21" s="55" customFormat="1" ht="3.75" customHeight="1" x14ac:dyDescent="0.3">
      <c r="C27" s="190"/>
      <c r="D27" s="218"/>
      <c r="E27" s="190"/>
      <c r="F27" s="182"/>
      <c r="G27" s="227"/>
      <c r="H27" s="213"/>
      <c r="I27" s="218"/>
      <c r="J27" s="190"/>
      <c r="K27" s="218"/>
      <c r="L27" s="215"/>
      <c r="M27" s="70"/>
      <c r="N27" s="70"/>
      <c r="O27" s="70"/>
      <c r="P27" s="70"/>
      <c r="Q27" s="54"/>
      <c r="R27" s="54"/>
      <c r="S27" s="54"/>
      <c r="T27" s="54"/>
      <c r="U27" s="54"/>
    </row>
    <row r="28" spans="2:21" s="18" customFormat="1" ht="31.85" customHeight="1" x14ac:dyDescent="0.3">
      <c r="B28" s="14" t="s" vm="150">
        <v>188</v>
      </c>
      <c r="C28" s="190" vm="1764">
        <v>353517.74</v>
      </c>
      <c r="D28" s="218">
        <v>100</v>
      </c>
      <c r="E28" s="190" vm="1613">
        <v>382494.64</v>
      </c>
      <c r="F28" s="182">
        <v>100</v>
      </c>
      <c r="G28" s="313">
        <v>8.1967315133888405</v>
      </c>
      <c r="H28" s="213" vm="1673">
        <v>920</v>
      </c>
      <c r="I28" s="218">
        <v>100</v>
      </c>
      <c r="J28" s="190" vm="1463">
        <v>1131</v>
      </c>
      <c r="K28" s="218">
        <v>100</v>
      </c>
      <c r="L28" s="215">
        <v>22.934782608695656</v>
      </c>
    </row>
    <row r="29" spans="2:21" s="55" customFormat="1" ht="3.75" customHeight="1" thickBot="1" x14ac:dyDescent="0.35">
      <c r="C29" s="190"/>
      <c r="D29" s="218"/>
      <c r="E29" s="190"/>
      <c r="F29" s="182"/>
      <c r="G29" s="227"/>
      <c r="H29" s="213"/>
      <c r="I29" s="218"/>
      <c r="J29" s="190"/>
      <c r="K29" s="218"/>
      <c r="L29" s="215"/>
      <c r="M29" s="70"/>
      <c r="N29" s="70"/>
      <c r="O29" s="70"/>
      <c r="P29" s="70"/>
      <c r="Q29" s="54"/>
      <c r="R29" s="54"/>
      <c r="S29" s="54"/>
      <c r="T29" s="54"/>
      <c r="U29" s="54"/>
    </row>
    <row r="30" spans="2:21" ht="37.549999999999997" customHeight="1" thickBot="1" x14ac:dyDescent="0.35">
      <c r="B30" s="110" t="s" vm="46">
        <v>189</v>
      </c>
      <c r="C30" s="192" vm="1280">
        <v>353517.74</v>
      </c>
      <c r="D30" s="216">
        <v>100</v>
      </c>
      <c r="E30" s="192" vm="1011">
        <v>382494.64</v>
      </c>
      <c r="F30" s="203">
        <v>100</v>
      </c>
      <c r="G30" s="314">
        <v>8.1967315133888405</v>
      </c>
      <c r="H30" s="192" vm="1273">
        <v>920</v>
      </c>
      <c r="I30" s="216">
        <v>100</v>
      </c>
      <c r="J30" s="192" vm="996">
        <v>1131</v>
      </c>
      <c r="K30" s="216">
        <v>100</v>
      </c>
      <c r="L30" s="294">
        <v>22.934782608695656</v>
      </c>
    </row>
    <row r="31" spans="2:21" s="55" customFormat="1" ht="3.75" customHeight="1" x14ac:dyDescent="0.3">
      <c r="B31" s="69"/>
      <c r="C31" s="190"/>
      <c r="D31" s="222"/>
      <c r="E31" s="190"/>
      <c r="F31" s="188"/>
      <c r="G31" s="175"/>
      <c r="H31" s="213"/>
      <c r="I31" s="222"/>
      <c r="J31" s="190"/>
      <c r="K31" s="222"/>
      <c r="L31" s="215"/>
      <c r="M31" s="70"/>
      <c r="N31" s="70"/>
      <c r="O31" s="70"/>
      <c r="P31" s="70"/>
      <c r="Q31" s="54"/>
      <c r="R31" s="54"/>
      <c r="S31" s="54"/>
      <c r="T31" s="54"/>
      <c r="U31" s="54"/>
    </row>
    <row r="32" spans="2:21" s="18" customFormat="1" ht="37.549999999999997" customHeight="1" x14ac:dyDescent="0.3">
      <c r="B32" s="14" t="s" vm="101">
        <v>190</v>
      </c>
      <c r="C32" s="190" vm="1036">
        <v>36525.939999999988</v>
      </c>
      <c r="D32" s="218">
        <v>0.28000000000000003</v>
      </c>
      <c r="E32" s="190" vm="1649">
        <v>122110.28000000001</v>
      </c>
      <c r="F32" s="182">
        <v>0.81</v>
      </c>
      <c r="G32" s="313">
        <v>234.3111224516058</v>
      </c>
      <c r="H32" s="213" vm="948">
        <v>2689</v>
      </c>
      <c r="I32" s="218">
        <v>5.58</v>
      </c>
      <c r="J32" s="190" vm="1284">
        <v>2455</v>
      </c>
      <c r="K32" s="218">
        <v>3.99</v>
      </c>
      <c r="L32" s="215">
        <v>-8.7021197471178908</v>
      </c>
    </row>
    <row r="33" spans="2:21" s="18" customFormat="1" ht="37.549999999999997" customHeight="1" x14ac:dyDescent="0.3">
      <c r="B33" s="14" t="s" vm="80">
        <v>191</v>
      </c>
      <c r="C33" s="190" vm="936">
        <v>7421718.3199999994</v>
      </c>
      <c r="D33" s="218">
        <v>57.97</v>
      </c>
      <c r="E33" s="190" vm="1552">
        <v>8491704.7200000007</v>
      </c>
      <c r="F33" s="182">
        <v>56.39</v>
      </c>
      <c r="G33" s="313">
        <v>14.416963213446252</v>
      </c>
      <c r="H33" s="213" vm="856">
        <v>25267</v>
      </c>
      <c r="I33" s="218">
        <v>52.49</v>
      </c>
      <c r="J33" s="190" vm="950">
        <v>28631</v>
      </c>
      <c r="K33" s="218">
        <v>46.61</v>
      </c>
      <c r="L33" s="215">
        <v>13.313808524953501</v>
      </c>
    </row>
    <row r="34" spans="2:21" s="18" customFormat="1" ht="37.549999999999997" customHeight="1" x14ac:dyDescent="0.3">
      <c r="B34" s="14" t="s" vm="149">
        <v>192</v>
      </c>
      <c r="C34" s="190" vm="1541">
        <v>1369728.48</v>
      </c>
      <c r="D34" s="218">
        <v>10.7</v>
      </c>
      <c r="E34" s="190" vm="1807">
        <v>2439709.3099999996</v>
      </c>
      <c r="F34" s="182">
        <v>16.2</v>
      </c>
      <c r="G34" s="313">
        <v>78.116272357861732</v>
      </c>
      <c r="H34" s="213" vm="1873">
        <v>19436</v>
      </c>
      <c r="I34" s="218">
        <v>40.380000000000003</v>
      </c>
      <c r="J34" s="190" vm="1493">
        <v>29616</v>
      </c>
      <c r="K34" s="218">
        <v>48.22</v>
      </c>
      <c r="L34" s="215">
        <v>52.377032311175128</v>
      </c>
    </row>
    <row r="35" spans="2:21" s="18" customFormat="1" ht="37.549999999999997" customHeight="1" x14ac:dyDescent="0.3">
      <c r="B35" s="14" t="s" vm="128">
        <v>193</v>
      </c>
      <c r="C35" s="190" vm="1603">
        <v>3975773.31</v>
      </c>
      <c r="D35" s="218">
        <v>31.05</v>
      </c>
      <c r="E35" s="190" vm="1339">
        <v>4006380.6999999997</v>
      </c>
      <c r="F35" s="182">
        <v>26.6</v>
      </c>
      <c r="G35" s="313">
        <v>0.76984746396418302</v>
      </c>
      <c r="H35" s="213" vm="1436">
        <v>744</v>
      </c>
      <c r="I35" s="218">
        <v>1.55</v>
      </c>
      <c r="J35" s="190" vm="1865">
        <v>722</v>
      </c>
      <c r="K35" s="218">
        <v>1.18</v>
      </c>
      <c r="L35" s="215">
        <v>-2.9569892473118244</v>
      </c>
    </row>
    <row r="36" spans="2:21" s="55" customFormat="1" ht="3.05" customHeight="1" thickBot="1" x14ac:dyDescent="0.35">
      <c r="B36" s="69"/>
      <c r="C36" s="190"/>
      <c r="D36" s="222"/>
      <c r="E36" s="190"/>
      <c r="F36" s="182"/>
      <c r="G36" s="237"/>
      <c r="H36" s="213"/>
      <c r="I36" s="218"/>
      <c r="J36" s="190"/>
      <c r="K36" s="218"/>
      <c r="L36" s="215"/>
      <c r="M36" s="70"/>
      <c r="N36" s="70"/>
      <c r="O36" s="70"/>
      <c r="P36" s="70"/>
      <c r="Q36" s="54"/>
      <c r="R36" s="54"/>
      <c r="S36" s="54"/>
      <c r="T36" s="54"/>
      <c r="U36" s="54"/>
    </row>
    <row r="37" spans="2:21" ht="37.549999999999997" customHeight="1" thickBot="1" x14ac:dyDescent="0.35">
      <c r="B37" s="110" t="s" vm="41">
        <v>194</v>
      </c>
      <c r="C37" s="192" vm="1212">
        <v>12803746.050000001</v>
      </c>
      <c r="D37" s="216">
        <v>100</v>
      </c>
      <c r="E37" s="192" vm="1580">
        <v>15059905.010000002</v>
      </c>
      <c r="F37" s="203">
        <v>100</v>
      </c>
      <c r="G37" s="314">
        <v>17.621084885544107</v>
      </c>
      <c r="H37" s="192" vm="1270">
        <v>48136</v>
      </c>
      <c r="I37" s="216">
        <v>100</v>
      </c>
      <c r="J37" s="192" vm="1707">
        <v>61424</v>
      </c>
      <c r="K37" s="216">
        <v>100</v>
      </c>
      <c r="L37" s="294">
        <v>27.605118829981706</v>
      </c>
    </row>
    <row r="38" spans="2:21" s="55" customFormat="1" ht="3.05" customHeight="1" x14ac:dyDescent="0.3">
      <c r="B38" s="69"/>
      <c r="C38" s="15"/>
      <c r="D38" s="222"/>
      <c r="E38" s="15" t="s">
        <v>196</v>
      </c>
      <c r="F38" s="188"/>
      <c r="G38" s="237"/>
      <c r="H38" s="36"/>
      <c r="I38" s="222"/>
      <c r="J38" s="17" t="s">
        <v>196</v>
      </c>
      <c r="K38" s="222"/>
      <c r="L38" s="291"/>
      <c r="M38" s="70"/>
      <c r="N38" s="70"/>
      <c r="O38" s="70"/>
      <c r="P38" s="70"/>
      <c r="Q38" s="54"/>
      <c r="R38" s="54"/>
      <c r="S38" s="54"/>
      <c r="T38" s="54"/>
      <c r="U38" s="54"/>
    </row>
    <row r="39" spans="2:21" ht="23.3" customHeight="1" x14ac:dyDescent="0.3">
      <c r="B39" s="241" t="s">
        <v>67</v>
      </c>
      <c r="C39" s="275">
        <v>67422502.679999992</v>
      </c>
      <c r="D39" s="304"/>
      <c r="E39" s="275">
        <v>71661580.450000003</v>
      </c>
      <c r="F39" s="302"/>
      <c r="G39" s="301">
        <v>6.2873337557928863</v>
      </c>
      <c r="H39" s="277">
        <v>95625</v>
      </c>
      <c r="I39" s="304"/>
      <c r="J39" s="321">
        <v>79795</v>
      </c>
      <c r="K39" s="304"/>
      <c r="L39" s="299">
        <v>-16.55424836601307</v>
      </c>
    </row>
    <row r="40" spans="2:21" x14ac:dyDescent="0.3">
      <c r="B40" s="75"/>
      <c r="C40" s="75"/>
      <c r="D40" s="75"/>
      <c r="E40" s="75"/>
      <c r="F40" s="75"/>
      <c r="G40" s="81"/>
      <c r="H40" s="75"/>
      <c r="I40" s="75"/>
      <c r="J40" s="75"/>
      <c r="K40" s="75"/>
      <c r="L40" s="81"/>
      <c r="M40" s="18"/>
      <c r="N40" s="18"/>
      <c r="O40" s="18"/>
      <c r="P40" s="18"/>
    </row>
    <row r="41" spans="2:21" x14ac:dyDescent="0.3">
      <c r="B41" s="75"/>
      <c r="C41" s="75"/>
      <c r="D41" s="75"/>
      <c r="E41" s="75"/>
      <c r="F41" s="75"/>
      <c r="G41" s="81"/>
      <c r="H41" s="75"/>
      <c r="I41" s="75"/>
      <c r="J41" s="75"/>
      <c r="K41" s="75"/>
      <c r="L41" s="81"/>
      <c r="M41" s="18"/>
      <c r="N41" s="18"/>
      <c r="O41" s="18"/>
      <c r="P41" s="18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8" orientation="landscape" r:id="rId1"/>
  <customProperties>
    <customPr name="Version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6" tint="0.39997558519241921"/>
    <pageSetUpPr fitToPage="1"/>
  </sheetPr>
  <dimension ref="A1:Q41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74.69921875" style="8" customWidth="1"/>
    <col min="3" max="4" width="16.69921875" style="8" bestFit="1" customWidth="1"/>
    <col min="5" max="5" width="11.59765625" style="61" bestFit="1" customWidth="1"/>
    <col min="6" max="7" width="13.59765625" style="8" bestFit="1" customWidth="1"/>
    <col min="8" max="8" width="11.59765625" style="61" customWidth="1"/>
    <col min="9" max="16384" width="9.296875" style="8"/>
  </cols>
  <sheetData>
    <row r="1" spans="1:17" s="18" customFormat="1" ht="58.85" customHeight="1" x14ac:dyDescent="0.3">
      <c r="A1" s="374" t="s">
        <v>141</v>
      </c>
      <c r="B1" s="374"/>
      <c r="C1" s="374"/>
      <c r="D1" s="374"/>
      <c r="E1" s="374"/>
      <c r="F1" s="374"/>
      <c r="G1" s="374"/>
      <c r="H1" s="374"/>
    </row>
    <row r="2" spans="1:17" s="18" customFormat="1" ht="13.15" x14ac:dyDescent="0.35">
      <c r="A2" s="347"/>
      <c r="B2" s="347"/>
      <c r="C2" s="347"/>
      <c r="D2" s="347"/>
      <c r="E2" s="347"/>
      <c r="F2" s="347"/>
      <c r="G2" s="347"/>
      <c r="H2" s="347"/>
    </row>
    <row r="3" spans="1:17" ht="21.75" customHeight="1" x14ac:dyDescent="0.35"/>
    <row r="4" spans="1:17" ht="4.8499999999999996" customHeight="1" thickBot="1" x14ac:dyDescent="0.4"/>
    <row r="5" spans="1:17" s="53" customFormat="1" ht="14.95" customHeight="1" x14ac:dyDescent="0.3">
      <c r="B5" s="369" t="s">
        <v>44</v>
      </c>
      <c r="C5" s="367" t="s">
        <v>65</v>
      </c>
      <c r="D5" s="367"/>
      <c r="E5" s="367"/>
      <c r="F5" s="367" t="s">
        <v>42</v>
      </c>
      <c r="G5" s="367"/>
      <c r="H5" s="368"/>
    </row>
    <row r="6" spans="1:17" s="54" customFormat="1" ht="23.85" thickBot="1" x14ac:dyDescent="0.35">
      <c r="B6" s="370"/>
      <c r="C6" s="6" t="s">
        <v>143</v>
      </c>
      <c r="D6" s="6" t="s">
        <v>144</v>
      </c>
      <c r="E6" s="22" t="s">
        <v>142</v>
      </c>
      <c r="F6" s="6" t="s">
        <v>143</v>
      </c>
      <c r="G6" s="6" t="s">
        <v>144</v>
      </c>
      <c r="H6" s="24" t="s">
        <v>142</v>
      </c>
    </row>
    <row r="7" spans="1:17" s="55" customFormat="1" ht="3.05" customHeight="1" x14ac:dyDescent="0.3">
      <c r="C7" s="54"/>
      <c r="D7" s="54"/>
      <c r="E7" s="56"/>
      <c r="F7" s="54"/>
      <c r="G7" s="54"/>
      <c r="H7" s="56"/>
      <c r="I7" s="54"/>
      <c r="J7" s="54"/>
      <c r="K7" s="54"/>
      <c r="L7" s="54"/>
      <c r="M7" s="54"/>
    </row>
    <row r="8" spans="1:17" s="18" customFormat="1" ht="37.549999999999997" customHeight="1" x14ac:dyDescent="0.3">
      <c r="B8" s="14" t="s" vm="105">
        <v>174</v>
      </c>
      <c r="C8" s="189" vm="1862">
        <v>0</v>
      </c>
      <c r="D8" s="190" vm="1667">
        <v>-6044.68</v>
      </c>
      <c r="E8" s="307" t="s">
        <v>145</v>
      </c>
      <c r="F8" s="213" vm="1616">
        <v>0</v>
      </c>
      <c r="G8" s="190" vm="1471">
        <v>0</v>
      </c>
      <c r="H8" s="181" t="s">
        <v>145</v>
      </c>
    </row>
    <row r="9" spans="1:17" s="18" customFormat="1" ht="37.549999999999997" customHeight="1" x14ac:dyDescent="0.3">
      <c r="B9" s="14" t="s" vm="83">
        <v>175</v>
      </c>
      <c r="C9" s="189" vm="1349">
        <v>167418.07999999961</v>
      </c>
      <c r="D9" s="190" vm="852">
        <v>9237372.370000001</v>
      </c>
      <c r="E9" s="307">
        <v>5417.5476686866932</v>
      </c>
      <c r="F9" s="213" vm="1250">
        <v>449</v>
      </c>
      <c r="G9" s="190" vm="843">
        <v>577</v>
      </c>
      <c r="H9" s="181">
        <v>28.507795100222722</v>
      </c>
    </row>
    <row r="10" spans="1:17" s="18" customFormat="1" ht="37.549999999999997" customHeight="1" x14ac:dyDescent="0.3">
      <c r="B10" s="14" t="s" vm="152">
        <v>176</v>
      </c>
      <c r="C10" s="189" vm="1510">
        <v>568117.29999999993</v>
      </c>
      <c r="D10" s="190" vm="1785">
        <v>1842208.37</v>
      </c>
      <c r="E10" s="307">
        <v>224.26549411538781</v>
      </c>
      <c r="F10" s="213" vm="1149">
        <v>4</v>
      </c>
      <c r="G10" s="190" vm="801">
        <v>12</v>
      </c>
      <c r="H10" s="181">
        <v>200</v>
      </c>
    </row>
    <row r="11" spans="1:17" s="55" customFormat="1" ht="3.05" customHeight="1" thickBot="1" x14ac:dyDescent="0.35">
      <c r="B11" s="69"/>
      <c r="C11" s="189"/>
      <c r="D11" s="190"/>
      <c r="E11" s="322"/>
      <c r="F11" s="213"/>
      <c r="G11" s="190"/>
      <c r="H11" s="175"/>
      <c r="I11" s="70"/>
      <c r="J11" s="70"/>
      <c r="K11" s="70"/>
      <c r="L11" s="70"/>
      <c r="M11" s="54"/>
      <c r="N11" s="54"/>
      <c r="O11" s="54"/>
      <c r="P11" s="54"/>
      <c r="Q11" s="54"/>
    </row>
    <row r="12" spans="1:17" ht="37.549999999999997" customHeight="1" thickBot="1" x14ac:dyDescent="0.35">
      <c r="B12" s="110" t="s" vm="42">
        <v>177</v>
      </c>
      <c r="C12" s="191" vm="977">
        <v>735535.38000000012</v>
      </c>
      <c r="D12" s="192" vm="1836">
        <v>11073536.060000001</v>
      </c>
      <c r="E12" s="295">
        <v>1405.5069220463602</v>
      </c>
      <c r="F12" s="192" vm="1662">
        <v>453</v>
      </c>
      <c r="G12" s="192" vm="972">
        <v>589</v>
      </c>
      <c r="H12" s="314">
        <v>30.022075055187628</v>
      </c>
    </row>
    <row r="13" spans="1:17" s="55" customFormat="1" ht="3.05" customHeight="1" x14ac:dyDescent="0.3">
      <c r="B13" s="69"/>
      <c r="C13" s="189"/>
      <c r="D13" s="190"/>
      <c r="E13" s="322"/>
      <c r="F13" s="213"/>
      <c r="G13" s="190"/>
      <c r="H13" s="175"/>
      <c r="I13" s="70"/>
      <c r="J13" s="70"/>
      <c r="K13" s="70"/>
      <c r="L13" s="70"/>
      <c r="M13" s="54"/>
      <c r="N13" s="54"/>
      <c r="O13" s="54"/>
      <c r="P13" s="54"/>
      <c r="Q13" s="54"/>
    </row>
    <row r="14" spans="1:17" s="18" customFormat="1" ht="35.450000000000003" customHeight="1" x14ac:dyDescent="0.3">
      <c r="B14" s="14" t="s" vm="104">
        <v>178</v>
      </c>
      <c r="C14" s="189" vm="1475">
        <v>261633.22000000003</v>
      </c>
      <c r="D14" s="190" vm="1556">
        <v>94939.73</v>
      </c>
      <c r="E14" s="307">
        <v>-63.712662329347935</v>
      </c>
      <c r="F14" s="213" vm="1534">
        <v>3</v>
      </c>
      <c r="G14" s="190" vm="1734">
        <v>3</v>
      </c>
      <c r="H14" s="181">
        <v>0</v>
      </c>
    </row>
    <row r="15" spans="1:17" s="18" customFormat="1" ht="35.450000000000003" customHeight="1" x14ac:dyDescent="0.3">
      <c r="B15" s="14" t="s" vm="82">
        <v>179</v>
      </c>
      <c r="C15" s="189" vm="970">
        <v>397114.70999999996</v>
      </c>
      <c r="D15" s="190" vm="1145">
        <v>383246.63</v>
      </c>
      <c r="E15" s="307">
        <v>-3.4922100971782015</v>
      </c>
      <c r="F15" s="213" vm="1810">
        <v>81</v>
      </c>
      <c r="G15" s="190" vm="1247">
        <v>65</v>
      </c>
      <c r="H15" s="181">
        <v>-19.753086419753089</v>
      </c>
    </row>
    <row r="16" spans="1:17" ht="3.75" customHeight="1" thickBot="1" x14ac:dyDescent="0.35">
      <c r="B16" s="26"/>
      <c r="C16" s="189"/>
      <c r="D16" s="190"/>
      <c r="E16" s="307"/>
      <c r="F16" s="213"/>
      <c r="G16" s="190"/>
      <c r="H16" s="175"/>
    </row>
    <row r="17" spans="2:17" ht="37.549999999999997" customHeight="1" thickBot="1" x14ac:dyDescent="0.35">
      <c r="B17" s="110" t="s" vm="33">
        <v>180</v>
      </c>
      <c r="C17" s="191" vm="1503">
        <v>658747.93000000005</v>
      </c>
      <c r="D17" s="192" vm="1885">
        <v>478186.36000000004</v>
      </c>
      <c r="E17" s="295">
        <v>-27.409812126468466</v>
      </c>
      <c r="F17" s="192" vm="688">
        <v>84</v>
      </c>
      <c r="G17" s="192" vm="693">
        <v>68</v>
      </c>
      <c r="H17" s="314">
        <v>-19.047619047619051</v>
      </c>
    </row>
    <row r="18" spans="2:17" ht="4.8499999999999996" customHeight="1" x14ac:dyDescent="0.3">
      <c r="B18" s="31"/>
      <c r="C18" s="189"/>
      <c r="D18" s="190"/>
      <c r="E18" s="307"/>
      <c r="F18" s="213"/>
      <c r="G18" s="190"/>
      <c r="H18" s="175"/>
    </row>
    <row r="19" spans="2:17" ht="38.25" customHeight="1" x14ac:dyDescent="0.3">
      <c r="B19" s="14" t="s" vm="130">
        <v>181</v>
      </c>
      <c r="C19" s="189" vm="1602">
        <v>97114.13</v>
      </c>
      <c r="D19" s="190" vm="1119">
        <v>7467.89</v>
      </c>
      <c r="E19" s="307">
        <v>-92.310192141967391</v>
      </c>
      <c r="F19" s="213" vm="1433">
        <v>2</v>
      </c>
      <c r="G19" s="190" vm="1905">
        <v>1</v>
      </c>
      <c r="H19" s="181">
        <v>-50</v>
      </c>
    </row>
    <row r="20" spans="2:17" ht="38.25" customHeight="1" x14ac:dyDescent="0.3">
      <c r="B20" s="14" t="s" vm="103">
        <v>182</v>
      </c>
      <c r="C20" s="189" vm="1689">
        <v>1880</v>
      </c>
      <c r="D20" s="190" vm="1754">
        <v>198443.64</v>
      </c>
      <c r="E20" s="307">
        <v>10455.512765957448</v>
      </c>
      <c r="F20" s="213" vm="1226">
        <v>1</v>
      </c>
      <c r="G20" s="190" vm="1912">
        <v>17</v>
      </c>
      <c r="H20" s="181">
        <v>1600</v>
      </c>
    </row>
    <row r="21" spans="2:17" ht="38.25" customHeight="1" x14ac:dyDescent="0.3">
      <c r="B21" s="14" t="s" vm="81">
        <v>183</v>
      </c>
      <c r="C21" s="189" vm="929">
        <v>0</v>
      </c>
      <c r="D21" s="190" vm="998">
        <v>0</v>
      </c>
      <c r="E21" s="307" t="s">
        <v>145</v>
      </c>
      <c r="F21" s="213" vm="1158">
        <v>0</v>
      </c>
      <c r="G21" s="190" vm="1105">
        <v>0</v>
      </c>
      <c r="H21" s="181" t="s">
        <v>145</v>
      </c>
    </row>
    <row r="22" spans="2:17" ht="37.549999999999997" customHeight="1" x14ac:dyDescent="0.3">
      <c r="B22" s="14" t="s" vm="151">
        <v>184</v>
      </c>
      <c r="C22" s="189" vm="1591">
        <v>14657.999999999998</v>
      </c>
      <c r="D22" s="190" vm="1180">
        <v>49260.079999999994</v>
      </c>
      <c r="E22" s="307">
        <v>236.06276436075865</v>
      </c>
      <c r="F22" s="213" vm="1107">
        <v>22</v>
      </c>
      <c r="G22" s="190" vm="1717">
        <v>12</v>
      </c>
      <c r="H22" s="181">
        <v>-45.45454545454546</v>
      </c>
    </row>
    <row r="23" spans="2:17" ht="36" customHeight="1" x14ac:dyDescent="0.3">
      <c r="B23" s="14" t="s" vm="129">
        <v>185</v>
      </c>
      <c r="C23" s="189" vm="1705">
        <v>970842.90999999992</v>
      </c>
      <c r="D23" s="190" vm="1175">
        <v>1247150.29</v>
      </c>
      <c r="E23" s="307">
        <v>28.460565262818903</v>
      </c>
      <c r="F23" s="213" vm="1757">
        <v>154</v>
      </c>
      <c r="G23" s="190" vm="1886">
        <v>190</v>
      </c>
      <c r="H23" s="181">
        <v>23.376623376623385</v>
      </c>
    </row>
    <row r="24" spans="2:17" s="18" customFormat="1" ht="31.85" customHeight="1" x14ac:dyDescent="0.3">
      <c r="B24" s="14" t="s" vm="102">
        <v>186</v>
      </c>
      <c r="C24" s="189" vm="1598">
        <v>1346399.01</v>
      </c>
      <c r="D24" s="190" vm="1723">
        <v>2293580.7800000003</v>
      </c>
      <c r="E24" s="307">
        <v>70.349262214623906</v>
      </c>
      <c r="F24" s="213" vm="1846">
        <v>96</v>
      </c>
      <c r="G24" s="190" vm="1428">
        <v>95</v>
      </c>
      <c r="H24" s="181">
        <v>-1.0416666666666572</v>
      </c>
    </row>
    <row r="25" spans="2:17" s="55" customFormat="1" ht="3.75" customHeight="1" thickBot="1" x14ac:dyDescent="0.35">
      <c r="C25" s="189"/>
      <c r="D25" s="190"/>
      <c r="E25" s="307"/>
      <c r="F25" s="213"/>
      <c r="G25" s="190"/>
      <c r="H25" s="175"/>
      <c r="I25" s="70"/>
      <c r="J25" s="70"/>
      <c r="K25" s="70"/>
      <c r="L25" s="70"/>
      <c r="M25" s="54"/>
      <c r="N25" s="54"/>
      <c r="O25" s="54"/>
      <c r="P25" s="54"/>
      <c r="Q25" s="54"/>
    </row>
    <row r="26" spans="2:17" ht="37.549999999999997" customHeight="1" thickBot="1" x14ac:dyDescent="0.35">
      <c r="B26" s="110" t="s" vm="49">
        <v>187</v>
      </c>
      <c r="C26" s="191" vm="1371">
        <v>2430894.0500000003</v>
      </c>
      <c r="D26" s="192" vm="1766">
        <v>3795902.6799999997</v>
      </c>
      <c r="E26" s="295">
        <v>56.152534907887059</v>
      </c>
      <c r="F26" s="192" vm="1399">
        <v>275</v>
      </c>
      <c r="G26" s="192" vm="772">
        <v>315</v>
      </c>
      <c r="H26" s="314">
        <v>14.545454545454547</v>
      </c>
    </row>
    <row r="27" spans="2:17" s="55" customFormat="1" ht="3.75" customHeight="1" x14ac:dyDescent="0.3">
      <c r="C27" s="189"/>
      <c r="D27" s="190"/>
      <c r="E27" s="307"/>
      <c r="F27" s="213"/>
      <c r="G27" s="190"/>
      <c r="H27" s="175"/>
      <c r="I27" s="70"/>
      <c r="J27" s="70"/>
      <c r="K27" s="70"/>
      <c r="L27" s="70"/>
      <c r="M27" s="54"/>
      <c r="N27" s="54"/>
      <c r="O27" s="54"/>
      <c r="P27" s="54"/>
      <c r="Q27" s="54"/>
    </row>
    <row r="28" spans="2:17" s="18" customFormat="1" ht="31.85" customHeight="1" x14ac:dyDescent="0.3">
      <c r="B28" s="14" t="s" vm="150">
        <v>188</v>
      </c>
      <c r="C28" s="189" vm="1698">
        <v>24271.43</v>
      </c>
      <c r="D28" s="190" vm="1571">
        <v>0</v>
      </c>
      <c r="E28" s="307" t="s">
        <v>145</v>
      </c>
      <c r="F28" s="213" vm="1875">
        <v>0</v>
      </c>
      <c r="G28" s="190" vm="1402">
        <v>0</v>
      </c>
      <c r="H28" s="181" t="s">
        <v>145</v>
      </c>
    </row>
    <row r="29" spans="2:17" s="55" customFormat="1" ht="3.75" customHeight="1" thickBot="1" x14ac:dyDescent="0.35">
      <c r="C29" s="189"/>
      <c r="D29" s="190"/>
      <c r="E29" s="307"/>
      <c r="F29" s="213"/>
      <c r="G29" s="190"/>
      <c r="H29" s="175"/>
      <c r="I29" s="70"/>
      <c r="J29" s="70"/>
      <c r="K29" s="70"/>
      <c r="L29" s="70"/>
      <c r="M29" s="54"/>
      <c r="N29" s="54"/>
      <c r="O29" s="54"/>
      <c r="P29" s="54"/>
      <c r="Q29" s="54"/>
    </row>
    <row r="30" spans="2:17" ht="37.549999999999997" customHeight="1" thickBot="1" x14ac:dyDescent="0.35">
      <c r="B30" s="110" t="s" vm="46">
        <v>189</v>
      </c>
      <c r="C30" s="191" vm="1688">
        <v>24271.43</v>
      </c>
      <c r="D30" s="192" vm="1837">
        <v>0</v>
      </c>
      <c r="E30" s="295" t="s">
        <v>145</v>
      </c>
      <c r="F30" s="192" vm="1316">
        <v>0</v>
      </c>
      <c r="G30" s="192" vm="862">
        <v>0</v>
      </c>
      <c r="H30" s="314" t="s">
        <v>145</v>
      </c>
    </row>
    <row r="31" spans="2:17" s="55" customFormat="1" ht="3.75" customHeight="1" x14ac:dyDescent="0.3">
      <c r="B31" s="69"/>
      <c r="C31" s="189"/>
      <c r="D31" s="190"/>
      <c r="E31" s="291"/>
      <c r="F31" s="213"/>
      <c r="G31" s="190"/>
      <c r="H31" s="175"/>
      <c r="I31" s="70"/>
      <c r="J31" s="70"/>
      <c r="K31" s="70"/>
      <c r="L31" s="70"/>
      <c r="M31" s="54"/>
      <c r="N31" s="54"/>
      <c r="O31" s="54"/>
      <c r="P31" s="54"/>
      <c r="Q31" s="54"/>
    </row>
    <row r="32" spans="2:17" s="18" customFormat="1" ht="37.549999999999997" customHeight="1" x14ac:dyDescent="0.3">
      <c r="B32" s="14" t="s" vm="101">
        <v>190</v>
      </c>
      <c r="C32" s="189" vm="1624">
        <v>21013.309999999998</v>
      </c>
      <c r="D32" s="190" vm="1659">
        <v>26364.720000000001</v>
      </c>
      <c r="E32" s="307">
        <v>25.466763684540908</v>
      </c>
      <c r="F32" s="213" vm="870">
        <v>15</v>
      </c>
      <c r="G32" s="190" vm="859">
        <v>17</v>
      </c>
      <c r="H32" s="181">
        <v>13.333333333333329</v>
      </c>
    </row>
    <row r="33" spans="2:17" s="18" customFormat="1" ht="37.549999999999997" customHeight="1" x14ac:dyDescent="0.3">
      <c r="B33" s="14" t="s" vm="80">
        <v>191</v>
      </c>
      <c r="C33" s="189" vm="1412">
        <v>1272851.6499999999</v>
      </c>
      <c r="D33" s="190" vm="1779">
        <v>2158292.9000000004</v>
      </c>
      <c r="E33" s="307">
        <v>69.563585827146511</v>
      </c>
      <c r="F33" s="213" vm="1646">
        <v>475</v>
      </c>
      <c r="G33" s="190" vm="1581">
        <v>586</v>
      </c>
      <c r="H33" s="181">
        <v>23.368421052631575</v>
      </c>
    </row>
    <row r="34" spans="2:17" s="18" customFormat="1" ht="37.549999999999997" customHeight="1" x14ac:dyDescent="0.3">
      <c r="B34" s="14" t="s" vm="149">
        <v>192</v>
      </c>
      <c r="C34" s="189" vm="1550">
        <v>662358.45000000007</v>
      </c>
      <c r="D34" s="190" vm="1278">
        <v>1056840.8500000001</v>
      </c>
      <c r="E34" s="307">
        <v>59.557238229541724</v>
      </c>
      <c r="F34" s="213" vm="1315">
        <v>9300</v>
      </c>
      <c r="G34" s="190" vm="785">
        <v>9898</v>
      </c>
      <c r="H34" s="181">
        <v>6.4301075268817129</v>
      </c>
    </row>
    <row r="35" spans="2:17" s="18" customFormat="1" ht="37.549999999999997" customHeight="1" x14ac:dyDescent="0.3">
      <c r="B35" s="14" t="s" vm="128">
        <v>193</v>
      </c>
      <c r="C35" s="189" vm="1372">
        <v>3915.56</v>
      </c>
      <c r="D35" s="190" vm="975">
        <v>2885.88</v>
      </c>
      <c r="E35" s="307">
        <v>-26.297132466364957</v>
      </c>
      <c r="F35" s="213" vm="764">
        <v>5</v>
      </c>
      <c r="G35" s="190" vm="871">
        <v>4</v>
      </c>
      <c r="H35" s="181">
        <v>-20</v>
      </c>
    </row>
    <row r="36" spans="2:17" s="55" customFormat="1" ht="3.05" customHeight="1" thickBot="1" x14ac:dyDescent="0.35">
      <c r="B36" s="69"/>
      <c r="C36" s="189"/>
      <c r="D36" s="190"/>
      <c r="E36" s="322"/>
      <c r="F36" s="213"/>
      <c r="G36" s="190"/>
      <c r="H36" s="175"/>
      <c r="I36" s="70"/>
      <c r="J36" s="70"/>
      <c r="K36" s="70"/>
      <c r="L36" s="70"/>
      <c r="M36" s="54"/>
      <c r="N36" s="54"/>
      <c r="O36" s="54"/>
      <c r="P36" s="54"/>
      <c r="Q36" s="54"/>
    </row>
    <row r="37" spans="2:17" ht="37.549999999999997" customHeight="1" thickBot="1" x14ac:dyDescent="0.35">
      <c r="B37" s="110" t="s" vm="41">
        <v>194</v>
      </c>
      <c r="C37" s="191" vm="713">
        <v>1960138.97</v>
      </c>
      <c r="D37" s="192" vm="1652">
        <v>3244384.3500000006</v>
      </c>
      <c r="E37" s="295">
        <v>65.518078037089424</v>
      </c>
      <c r="F37" s="192" vm="1062">
        <v>9795</v>
      </c>
      <c r="G37" s="192" vm="1661">
        <v>10505</v>
      </c>
      <c r="H37" s="314">
        <v>7.2485962225625258</v>
      </c>
    </row>
    <row r="38" spans="2:17" s="55" customFormat="1" ht="3.05" customHeight="1" x14ac:dyDescent="0.3">
      <c r="B38" s="69"/>
      <c r="C38" s="15"/>
      <c r="D38" s="15"/>
      <c r="E38" s="322"/>
      <c r="F38" s="36"/>
      <c r="G38" s="190"/>
      <c r="H38" s="175"/>
      <c r="I38" s="70"/>
      <c r="J38" s="70"/>
      <c r="K38" s="70"/>
      <c r="L38" s="70"/>
      <c r="M38" s="54"/>
      <c r="N38" s="54"/>
      <c r="O38" s="54"/>
      <c r="P38" s="54"/>
      <c r="Q38" s="54"/>
    </row>
    <row r="39" spans="2:17" ht="23.3" customHeight="1" x14ac:dyDescent="0.3">
      <c r="B39" s="241" t="s">
        <v>67</v>
      </c>
      <c r="C39" s="275">
        <v>5809587.7600000007</v>
      </c>
      <c r="D39" s="275">
        <v>18592009.449999999</v>
      </c>
      <c r="E39" s="299">
        <v>220.02286940235496</v>
      </c>
      <c r="F39" s="275">
        <v>10607</v>
      </c>
      <c r="G39" s="275">
        <v>11477</v>
      </c>
      <c r="H39" s="305">
        <v>8.2021306684265198</v>
      </c>
    </row>
    <row r="40" spans="2:17" x14ac:dyDescent="0.3">
      <c r="B40" s="75"/>
      <c r="C40" s="75"/>
      <c r="D40" s="75"/>
      <c r="E40" s="81"/>
      <c r="F40" s="75"/>
      <c r="G40" s="75"/>
      <c r="H40" s="81"/>
      <c r="I40" s="18"/>
      <c r="J40" s="18"/>
      <c r="K40" s="18"/>
      <c r="L40" s="18"/>
    </row>
    <row r="41" spans="2:17" x14ac:dyDescent="0.3">
      <c r="B41" s="75"/>
      <c r="C41" s="75"/>
      <c r="D41" s="75"/>
      <c r="E41" s="81"/>
      <c r="F41" s="75"/>
      <c r="G41" s="75"/>
      <c r="H41" s="81"/>
      <c r="I41" s="18"/>
      <c r="J41" s="18"/>
      <c r="K41" s="18"/>
      <c r="L41" s="18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59" orientation="landscape" r:id="rId1"/>
  <customProperties>
    <customPr name="Version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6" tint="0.39997558519241921"/>
  </sheetPr>
  <dimension ref="A1:U38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3" width="17.296875" style="8" bestFit="1" customWidth="1"/>
    <col min="4" max="4" width="11.296875" style="8" bestFit="1" customWidth="1"/>
    <col min="5" max="5" width="17.296875" style="8" bestFit="1" customWidth="1"/>
    <col min="6" max="6" width="11.296875" style="8" bestFit="1" customWidth="1"/>
    <col min="7" max="7" width="11.69921875" style="61" bestFit="1" customWidth="1"/>
    <col min="8" max="8" width="13.69921875" style="8" bestFit="1" customWidth="1"/>
    <col min="9" max="9" width="12.296875" style="8" bestFit="1" customWidth="1"/>
    <col min="10" max="10" width="13.69921875" style="8" bestFit="1" customWidth="1"/>
    <col min="11" max="11" width="12.296875" style="8" bestFit="1" customWidth="1"/>
    <col min="12" max="12" width="11.59765625" style="61" customWidth="1"/>
    <col min="13" max="16384" width="9.296875" style="8"/>
  </cols>
  <sheetData>
    <row r="1" spans="1:17" s="18" customFormat="1" ht="58.85" customHeight="1" x14ac:dyDescent="0.3">
      <c r="A1" s="372" t="s">
        <v>141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7" s="18" customFormat="1" ht="13.15" x14ac:dyDescent="0.3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</row>
    <row r="3" spans="1:17" ht="21.75" customHeight="1" x14ac:dyDescent="0.35"/>
    <row r="4" spans="1:17" ht="4.8499999999999996" customHeight="1" thickBot="1" x14ac:dyDescent="0.4"/>
    <row r="5" spans="1:17" s="53" customFormat="1" ht="14.95" customHeight="1" x14ac:dyDescent="0.3">
      <c r="B5" s="369" t="s">
        <v>44</v>
      </c>
      <c r="C5" s="367" t="s">
        <v>37</v>
      </c>
      <c r="D5" s="367"/>
      <c r="E5" s="367"/>
      <c r="F5" s="367"/>
      <c r="G5" s="367"/>
      <c r="H5" s="367" t="s">
        <v>41</v>
      </c>
      <c r="I5" s="367"/>
      <c r="J5" s="367"/>
      <c r="K5" s="367"/>
      <c r="L5" s="368"/>
    </row>
    <row r="6" spans="1:17" s="54" customFormat="1" ht="23.85" thickBot="1" x14ac:dyDescent="0.35">
      <c r="B6" s="370"/>
      <c r="C6" s="6" t="s">
        <v>143</v>
      </c>
      <c r="D6" s="6" t="s">
        <v>38</v>
      </c>
      <c r="E6" s="6" t="s">
        <v>144</v>
      </c>
      <c r="F6" s="6" t="s">
        <v>38</v>
      </c>
      <c r="G6" s="22" t="s">
        <v>142</v>
      </c>
      <c r="H6" s="6" t="s">
        <v>143</v>
      </c>
      <c r="I6" s="6" t="s">
        <v>38</v>
      </c>
      <c r="J6" s="6" t="s">
        <v>144</v>
      </c>
      <c r="K6" s="6" t="s">
        <v>38</v>
      </c>
      <c r="L6" s="24" t="s">
        <v>142</v>
      </c>
    </row>
    <row r="7" spans="1:17" s="55" customFormat="1" ht="3.05" customHeight="1" x14ac:dyDescent="0.3">
      <c r="C7" s="54"/>
      <c r="D7" s="54"/>
      <c r="E7" s="54"/>
      <c r="F7" s="54"/>
      <c r="G7" s="56"/>
      <c r="H7" s="54"/>
      <c r="I7" s="54"/>
      <c r="J7" s="54"/>
      <c r="K7" s="54"/>
      <c r="L7" s="56"/>
      <c r="M7" s="54"/>
      <c r="N7" s="54"/>
      <c r="O7" s="54"/>
      <c r="P7" s="54"/>
      <c r="Q7" s="54"/>
    </row>
    <row r="8" spans="1:17" s="18" customFormat="1" ht="37.549999999999997" customHeight="1" x14ac:dyDescent="0.3">
      <c r="B8" s="14" t="s" vm="185">
        <v>147</v>
      </c>
      <c r="C8" s="190" vm="1187">
        <v>340516651.53000003</v>
      </c>
      <c r="D8" s="181">
        <v>86.84</v>
      </c>
      <c r="E8" s="190" vm="1574">
        <v>379594311.42000002</v>
      </c>
      <c r="F8" s="181">
        <v>87.46</v>
      </c>
      <c r="G8" s="313">
        <v>11.475990884562421</v>
      </c>
      <c r="H8" s="213" vm="1701">
        <v>513096</v>
      </c>
      <c r="I8" s="181">
        <v>65.88000000000001</v>
      </c>
      <c r="J8" s="190" vm="1405">
        <v>509741</v>
      </c>
      <c r="K8" s="181">
        <v>65.11</v>
      </c>
      <c r="L8" s="291">
        <v>-0.65387373902740364</v>
      </c>
    </row>
    <row r="9" spans="1:17" s="18" customFormat="1" ht="37.549999999999997" customHeight="1" x14ac:dyDescent="0.3">
      <c r="B9" s="14" t="s" vm="198">
        <v>148</v>
      </c>
      <c r="C9" s="190" vm="1116">
        <v>11908152.889999999</v>
      </c>
      <c r="D9" s="181">
        <v>3.03</v>
      </c>
      <c r="E9" s="190" vm="1910">
        <v>10138547.560000001</v>
      </c>
      <c r="F9" s="181">
        <v>2.34</v>
      </c>
      <c r="G9" s="307">
        <v>-14.860451879871675</v>
      </c>
      <c r="H9" s="213" vm="1732">
        <v>157811</v>
      </c>
      <c r="I9" s="181">
        <v>20.260000000000002</v>
      </c>
      <c r="J9" s="190" vm="1879">
        <v>156822</v>
      </c>
      <c r="K9" s="181">
        <v>20.03</v>
      </c>
      <c r="L9" s="291">
        <v>-0.62669902605014727</v>
      </c>
    </row>
    <row r="10" spans="1:17" s="18" customFormat="1" ht="37.549999999999997" customHeight="1" x14ac:dyDescent="0.3">
      <c r="B10" s="14" t="s" vm="184">
        <v>149</v>
      </c>
      <c r="C10" s="190" vm="1531">
        <v>12806896.640000001</v>
      </c>
      <c r="D10" s="181">
        <v>3.27</v>
      </c>
      <c r="E10" s="190" vm="943">
        <v>17428849.829999998</v>
      </c>
      <c r="F10" s="181">
        <v>4.0199999999999996</v>
      </c>
      <c r="G10" s="307">
        <v>36.08956423966265</v>
      </c>
      <c r="H10" s="213" vm="1071">
        <v>29999</v>
      </c>
      <c r="I10" s="181">
        <v>3.85</v>
      </c>
      <c r="J10" s="190" vm="855">
        <v>32747</v>
      </c>
      <c r="K10" s="181">
        <v>4.18</v>
      </c>
      <c r="L10" s="291">
        <v>9.160305343511439</v>
      </c>
    </row>
    <row r="11" spans="1:17" s="18" customFormat="1" ht="37.549999999999997" customHeight="1" x14ac:dyDescent="0.3">
      <c r="B11" s="14" t="s" vm="197">
        <v>150</v>
      </c>
      <c r="C11" s="190" vm="1575">
        <v>9980748.5699999984</v>
      </c>
      <c r="D11" s="181">
        <v>2.5499999999999998</v>
      </c>
      <c r="E11" s="190" vm="1801">
        <v>10204986.57</v>
      </c>
      <c r="F11" s="181">
        <v>2.35</v>
      </c>
      <c r="G11" s="307">
        <v>2.2467052288443767</v>
      </c>
      <c r="H11" s="213" vm="1702">
        <v>33454</v>
      </c>
      <c r="I11" s="181">
        <v>4.29</v>
      </c>
      <c r="J11" s="190" vm="1830">
        <v>38090</v>
      </c>
      <c r="K11" s="181">
        <v>4.8600000000000003</v>
      </c>
      <c r="L11" s="291">
        <v>13.857834638608239</v>
      </c>
    </row>
    <row r="12" spans="1:17" s="18" customFormat="1" ht="37.549999999999997" customHeight="1" x14ac:dyDescent="0.3">
      <c r="B12" s="14" t="s" vm="183">
        <v>151</v>
      </c>
      <c r="C12" s="190" vm="1378">
        <v>14111079.890000001</v>
      </c>
      <c r="D12" s="181">
        <v>3.6</v>
      </c>
      <c r="E12" s="190" vm="1491">
        <v>13986337.370000001</v>
      </c>
      <c r="F12" s="181">
        <v>3.22</v>
      </c>
      <c r="G12" s="307">
        <v>-0.88400406611262383</v>
      </c>
      <c r="H12" s="213" vm="1904">
        <v>38461</v>
      </c>
      <c r="I12" s="181">
        <v>4.9400000000000004</v>
      </c>
      <c r="J12" s="190" vm="1812">
        <v>40096</v>
      </c>
      <c r="K12" s="181">
        <v>5.12</v>
      </c>
      <c r="L12" s="291">
        <v>4.2510595148332015</v>
      </c>
    </row>
    <row r="13" spans="1:17" s="18" customFormat="1" ht="37.549999999999997" customHeight="1" thickBot="1" x14ac:dyDescent="0.35">
      <c r="B13" s="14" t="s" vm="196">
        <v>152</v>
      </c>
      <c r="C13" s="190" vm="1737">
        <v>2792875</v>
      </c>
      <c r="D13" s="181">
        <v>0.71</v>
      </c>
      <c r="E13" s="190" vm="1804">
        <v>2656008.5299999998</v>
      </c>
      <c r="F13" s="181">
        <v>0.61</v>
      </c>
      <c r="G13" s="307">
        <v>-4.9005583851765664</v>
      </c>
      <c r="H13" s="213" vm="1441">
        <v>6105</v>
      </c>
      <c r="I13" s="181">
        <v>0.78</v>
      </c>
      <c r="J13" s="190" vm="1477">
        <v>5507</v>
      </c>
      <c r="K13" s="181">
        <v>0.7</v>
      </c>
      <c r="L13" s="291">
        <v>-9.7952497952497879</v>
      </c>
    </row>
    <row r="14" spans="1:17" ht="37.549999999999997" customHeight="1" thickBot="1" x14ac:dyDescent="0.35">
      <c r="B14" s="110" t="s" vm="199">
        <v>153</v>
      </c>
      <c r="C14" s="192" vm="1847">
        <v>392116404.52000004</v>
      </c>
      <c r="D14" s="202">
        <v>99.999999999999986</v>
      </c>
      <c r="E14" s="192" vm="1432">
        <v>434009041.28000003</v>
      </c>
      <c r="F14" s="216">
        <v>99.999999999999986</v>
      </c>
      <c r="G14" s="295">
        <v>10.683724597363351</v>
      </c>
      <c r="H14" s="195" vm="1343">
        <v>778926</v>
      </c>
      <c r="I14" s="216">
        <v>100.00000000000001</v>
      </c>
      <c r="J14" s="192" vm="1472">
        <v>783003</v>
      </c>
      <c r="K14" s="202">
        <v>100</v>
      </c>
      <c r="L14" s="295">
        <v>0.52341300714060424</v>
      </c>
    </row>
    <row r="15" spans="1:17" s="18" customFormat="1" ht="35.450000000000003" customHeight="1" x14ac:dyDescent="0.3">
      <c r="B15" s="14" t="s" vm="195">
        <v>154</v>
      </c>
      <c r="C15" s="190" vm="1211">
        <v>1359780.83</v>
      </c>
      <c r="D15" s="181">
        <v>56.37</v>
      </c>
      <c r="E15" s="190" vm="1617">
        <v>1137413.68</v>
      </c>
      <c r="F15" s="218">
        <v>24.16</v>
      </c>
      <c r="G15" s="307">
        <v>-16.353161119354809</v>
      </c>
      <c r="H15" s="240" vm="1375">
        <v>1141</v>
      </c>
      <c r="I15" s="218">
        <v>57.08</v>
      </c>
      <c r="J15" s="190" vm="1817">
        <v>1128</v>
      </c>
      <c r="K15" s="181">
        <v>54</v>
      </c>
      <c r="L15" s="291">
        <v>-1.1393514460999086</v>
      </c>
    </row>
    <row r="16" spans="1:17" s="18" customFormat="1" ht="35.450000000000003" customHeight="1" x14ac:dyDescent="0.3">
      <c r="B16" s="14" t="s" vm="181">
        <v>155</v>
      </c>
      <c r="C16" s="190" vm="1066">
        <v>1052492.97</v>
      </c>
      <c r="D16" s="181">
        <v>43.63</v>
      </c>
      <c r="E16" s="190" vm="1720">
        <v>3570697.0199999996</v>
      </c>
      <c r="F16" s="218">
        <v>75.84</v>
      </c>
      <c r="G16" s="307">
        <v>239.26089026513876</v>
      </c>
      <c r="H16" s="240" vm="1863">
        <v>834</v>
      </c>
      <c r="I16" s="218">
        <v>41.72</v>
      </c>
      <c r="J16" s="190" vm="1067">
        <v>939</v>
      </c>
      <c r="K16" s="181">
        <v>44.95</v>
      </c>
      <c r="L16" s="291">
        <v>12.589928057553962</v>
      </c>
    </row>
    <row r="17" spans="2:12" s="18" customFormat="1" ht="35.450000000000003" customHeight="1" thickBot="1" x14ac:dyDescent="0.35">
      <c r="B17" s="14" t="s" vm="194">
        <v>156</v>
      </c>
      <c r="C17" s="190" vm="1655">
        <v>0</v>
      </c>
      <c r="D17" s="181">
        <v>0</v>
      </c>
      <c r="E17" s="190" vm="746">
        <v>0</v>
      </c>
      <c r="F17" s="218">
        <v>0</v>
      </c>
      <c r="G17" s="307" t="s">
        <v>145</v>
      </c>
      <c r="H17" s="240" vm="945">
        <v>24</v>
      </c>
      <c r="I17" s="218">
        <v>1.2</v>
      </c>
      <c r="J17" s="190" vm="1160">
        <v>22</v>
      </c>
      <c r="K17" s="181">
        <v>1.05</v>
      </c>
      <c r="L17" s="291">
        <v>-8.3333333333333428</v>
      </c>
    </row>
    <row r="18" spans="2:12" ht="37.549999999999997" customHeight="1" thickBot="1" x14ac:dyDescent="0.35">
      <c r="B18" s="110" t="s" vm="182">
        <v>157</v>
      </c>
      <c r="C18" s="192" vm="1346">
        <v>2412273.7999999998</v>
      </c>
      <c r="D18" s="202">
        <v>100</v>
      </c>
      <c r="E18" s="192" vm="901">
        <v>4708110.6999999993</v>
      </c>
      <c r="F18" s="216">
        <v>100</v>
      </c>
      <c r="G18" s="295">
        <v>95.173147426299607</v>
      </c>
      <c r="H18" s="196" vm="740">
        <v>1999</v>
      </c>
      <c r="I18" s="216">
        <v>100</v>
      </c>
      <c r="J18" s="192" vm="1093">
        <v>2089</v>
      </c>
      <c r="K18" s="202">
        <v>100</v>
      </c>
      <c r="L18" s="295">
        <v>4.5022511255627791</v>
      </c>
    </row>
    <row r="19" spans="2:12" ht="38.25" customHeight="1" x14ac:dyDescent="0.3">
      <c r="B19" s="14" t="s" vm="193">
        <v>158</v>
      </c>
      <c r="C19" s="190" vm="1051">
        <v>21473482.549999997</v>
      </c>
      <c r="D19" s="181">
        <v>87.94</v>
      </c>
      <c r="E19" s="190" vm="1222">
        <v>21551203.039999999</v>
      </c>
      <c r="F19" s="218">
        <v>87.65</v>
      </c>
      <c r="G19" s="307">
        <v>0.36193705338216375</v>
      </c>
      <c r="H19" s="228" vm="1502">
        <v>503721</v>
      </c>
      <c r="I19" s="218">
        <v>82.65</v>
      </c>
      <c r="J19" s="190" vm="993">
        <v>531084</v>
      </c>
      <c r="K19" s="181">
        <v>81.38</v>
      </c>
      <c r="L19" s="291">
        <v>5.4321737628568343</v>
      </c>
    </row>
    <row r="20" spans="2:12" ht="38.25" customHeight="1" x14ac:dyDescent="0.3">
      <c r="B20" s="14" t="s" vm="179">
        <v>159</v>
      </c>
      <c r="C20" s="190" vm="1384">
        <v>167975.76</v>
      </c>
      <c r="D20" s="181">
        <v>0.69</v>
      </c>
      <c r="E20" s="190" vm="820">
        <v>216249.40999999997</v>
      </c>
      <c r="F20" s="218">
        <v>0.88</v>
      </c>
      <c r="G20" s="307">
        <v>28.7384620257113</v>
      </c>
      <c r="H20" s="228" vm="927">
        <v>2283</v>
      </c>
      <c r="I20" s="218">
        <v>0.37</v>
      </c>
      <c r="J20" s="190" vm="1039">
        <v>2691</v>
      </c>
      <c r="K20" s="181">
        <v>0.41</v>
      </c>
      <c r="L20" s="291">
        <v>17.871222076215503</v>
      </c>
    </row>
    <row r="21" spans="2:12" ht="38.25" customHeight="1" thickBot="1" x14ac:dyDescent="0.35">
      <c r="B21" s="14" t="s" vm="192">
        <v>160</v>
      </c>
      <c r="C21" s="190" vm="1205">
        <v>2776221.86</v>
      </c>
      <c r="D21" s="181">
        <v>11.37</v>
      </c>
      <c r="E21" s="190" vm="877">
        <v>2819627.04</v>
      </c>
      <c r="F21" s="218">
        <v>11.47</v>
      </c>
      <c r="G21" s="307">
        <v>1.5634622227202186</v>
      </c>
      <c r="H21" s="240" vm="1383">
        <v>103461</v>
      </c>
      <c r="I21" s="218">
        <v>16.98</v>
      </c>
      <c r="J21" s="190" vm="845">
        <v>118827</v>
      </c>
      <c r="K21" s="181">
        <v>18.21</v>
      </c>
      <c r="L21" s="291">
        <v>14.851973207295501</v>
      </c>
    </row>
    <row r="22" spans="2:12" ht="37.549999999999997" customHeight="1" thickBot="1" x14ac:dyDescent="0.35">
      <c r="B22" s="324" t="s" vm="180">
        <v>161</v>
      </c>
      <c r="C22" s="192" vm="818">
        <v>24417680.169999998</v>
      </c>
      <c r="D22" s="202">
        <v>100</v>
      </c>
      <c r="E22" s="192" vm="1124">
        <v>24587079.490000002</v>
      </c>
      <c r="F22" s="216">
        <v>100</v>
      </c>
      <c r="G22" s="295">
        <v>0.69375681399958466</v>
      </c>
      <c r="H22" s="195" vm="1030">
        <v>609465</v>
      </c>
      <c r="I22" s="216">
        <v>100.00000000000001</v>
      </c>
      <c r="J22" s="192" vm="850">
        <v>652602</v>
      </c>
      <c r="K22" s="202">
        <v>100</v>
      </c>
      <c r="L22" s="295">
        <v>7.07784696414069</v>
      </c>
    </row>
    <row r="23" spans="2:12" s="18" customFormat="1" ht="31.85" customHeight="1" thickBot="1" x14ac:dyDescent="0.35">
      <c r="B23" s="323" t="s" vm="191">
        <v>162</v>
      </c>
      <c r="C23" s="190" vm="1173">
        <v>1069843.6400000001</v>
      </c>
      <c r="D23" s="181">
        <v>100</v>
      </c>
      <c r="E23" s="190" vm="1102">
        <v>966273.46</v>
      </c>
      <c r="F23" s="218">
        <v>100</v>
      </c>
      <c r="G23" s="307">
        <v>-9.6808707485516408</v>
      </c>
      <c r="H23" s="240" vm="835">
        <v>3806</v>
      </c>
      <c r="I23" s="218">
        <v>100</v>
      </c>
      <c r="J23" s="190" vm="1234">
        <v>3536</v>
      </c>
      <c r="K23" s="181">
        <v>100</v>
      </c>
      <c r="L23" s="291">
        <v>-7.0940620073568113</v>
      </c>
    </row>
    <row r="24" spans="2:12" ht="37.549999999999997" customHeight="1" thickBot="1" x14ac:dyDescent="0.35">
      <c r="B24" s="324" t="s" vm="178">
        <v>163</v>
      </c>
      <c r="C24" s="192" vm="1151">
        <v>1069843.6400000001</v>
      </c>
      <c r="D24" s="202">
        <v>100</v>
      </c>
      <c r="E24" s="192" vm="1074">
        <v>966273.46</v>
      </c>
      <c r="F24" s="216">
        <v>100</v>
      </c>
      <c r="G24" s="295">
        <v>-9.6808707485516408</v>
      </c>
      <c r="H24" s="196" vm="722">
        <v>3806</v>
      </c>
      <c r="I24" s="216">
        <v>100</v>
      </c>
      <c r="J24" s="192" vm="910">
        <v>3536</v>
      </c>
      <c r="K24" s="202">
        <v>100</v>
      </c>
      <c r="L24" s="295">
        <v>-7.0940620073568113</v>
      </c>
    </row>
    <row r="25" spans="2:12" s="18" customFormat="1" ht="37.549999999999997" customHeight="1" x14ac:dyDescent="0.3">
      <c r="B25" s="323" t="s" vm="190">
        <v>164</v>
      </c>
      <c r="C25" s="190" vm="1294">
        <v>10230001.960000001</v>
      </c>
      <c r="D25" s="181">
        <v>86.4</v>
      </c>
      <c r="E25" s="190" vm="1084">
        <v>8908876.4800000004</v>
      </c>
      <c r="F25" s="218">
        <v>35.85</v>
      </c>
      <c r="G25" s="307">
        <v>-12.914225091702718</v>
      </c>
      <c r="H25" s="228" vm="731">
        <v>25785</v>
      </c>
      <c r="I25" s="218">
        <v>55.05</v>
      </c>
      <c r="J25" s="190" vm="778">
        <v>23017</v>
      </c>
      <c r="K25" s="181">
        <v>54.61</v>
      </c>
      <c r="L25" s="291">
        <v>-10.73492340508048</v>
      </c>
    </row>
    <row r="26" spans="2:12" s="18" customFormat="1" ht="37.549999999999997" customHeight="1" x14ac:dyDescent="0.3">
      <c r="B26" s="323" t="s" vm="176">
        <v>165</v>
      </c>
      <c r="C26" s="190" vm="905">
        <v>0</v>
      </c>
      <c r="D26" s="181">
        <v>0</v>
      </c>
      <c r="E26" s="190" vm="932">
        <v>0</v>
      </c>
      <c r="F26" s="218">
        <v>0</v>
      </c>
      <c r="G26" s="307" t="s">
        <v>145</v>
      </c>
      <c r="H26" s="228" vm="874">
        <v>0</v>
      </c>
      <c r="I26" s="218">
        <v>0</v>
      </c>
      <c r="J26" s="190" vm="821">
        <v>0</v>
      </c>
      <c r="K26" s="181">
        <v>0</v>
      </c>
      <c r="L26" s="291" t="s">
        <v>145</v>
      </c>
    </row>
    <row r="27" spans="2:12" s="18" customFormat="1" ht="37.549999999999997" customHeight="1" x14ac:dyDescent="0.3">
      <c r="B27" s="323" t="s" vm="189">
        <v>166</v>
      </c>
      <c r="C27" s="190" vm="744">
        <v>0</v>
      </c>
      <c r="D27" s="181">
        <v>0</v>
      </c>
      <c r="E27" s="190" vm="1002">
        <v>0</v>
      </c>
      <c r="F27" s="218">
        <v>0</v>
      </c>
      <c r="G27" s="307" t="s">
        <v>145</v>
      </c>
      <c r="H27" s="228" vm="781">
        <v>0</v>
      </c>
      <c r="I27" s="218">
        <v>0</v>
      </c>
      <c r="J27" s="190" vm="1019">
        <v>0</v>
      </c>
      <c r="K27" s="181">
        <v>0</v>
      </c>
      <c r="L27" s="291" t="s">
        <v>145</v>
      </c>
    </row>
    <row r="28" spans="2:12" s="18" customFormat="1" ht="37.549999999999997" customHeight="1" x14ac:dyDescent="0.3">
      <c r="B28" s="323" t="s" vm="175">
        <v>167</v>
      </c>
      <c r="C28" s="190" vm="1213">
        <v>0</v>
      </c>
      <c r="D28" s="181">
        <v>0</v>
      </c>
      <c r="E28" s="190" vm="894">
        <v>13621891.530000001</v>
      </c>
      <c r="F28" s="218">
        <v>54.83</v>
      </c>
      <c r="G28" s="307" t="s">
        <v>145</v>
      </c>
      <c r="H28" s="228" vm="1636">
        <v>10834</v>
      </c>
      <c r="I28" s="218">
        <v>23.13</v>
      </c>
      <c r="J28" s="190" vm="698">
        <v>10201</v>
      </c>
      <c r="K28" s="181">
        <v>24.21</v>
      </c>
      <c r="L28" s="291">
        <v>-5.8427173712386917</v>
      </c>
    </row>
    <row r="29" spans="2:12" s="18" customFormat="1" ht="37.549999999999997" customHeight="1" thickBot="1" x14ac:dyDescent="0.35">
      <c r="B29" s="323" t="s" vm="188">
        <v>168</v>
      </c>
      <c r="C29" s="190" vm="990">
        <v>1610015.54</v>
      </c>
      <c r="D29" s="181">
        <v>13.6</v>
      </c>
      <c r="E29" s="190" vm="949">
        <v>2314723.59</v>
      </c>
      <c r="F29" s="218">
        <v>9.32</v>
      </c>
      <c r="G29" s="307">
        <v>43.770263857204753</v>
      </c>
      <c r="H29" s="228" vm="1033">
        <v>10220</v>
      </c>
      <c r="I29" s="218">
        <v>21.82</v>
      </c>
      <c r="J29" s="190" vm="1224">
        <v>8925</v>
      </c>
      <c r="K29" s="181">
        <v>21.18</v>
      </c>
      <c r="L29" s="291">
        <v>-12.671232876712324</v>
      </c>
    </row>
    <row r="30" spans="2:12" ht="37.549999999999997" customHeight="1" thickBot="1" x14ac:dyDescent="0.35">
      <c r="B30" s="324" t="s" vm="177">
        <v>169</v>
      </c>
      <c r="C30" s="192" vm="1512">
        <v>11840017.5</v>
      </c>
      <c r="D30" s="202">
        <v>100</v>
      </c>
      <c r="E30" s="192" vm="774">
        <v>24845491.599999998</v>
      </c>
      <c r="F30" s="216">
        <v>100</v>
      </c>
      <c r="G30" s="295">
        <v>109.84336889704761</v>
      </c>
      <c r="H30" s="196" vm="860">
        <v>46839</v>
      </c>
      <c r="I30" s="216">
        <v>100</v>
      </c>
      <c r="J30" s="192" vm="803">
        <v>42143</v>
      </c>
      <c r="K30" s="202">
        <v>100</v>
      </c>
      <c r="L30" s="295">
        <v>-10.025833173210358</v>
      </c>
    </row>
    <row r="31" spans="2:12" s="18" customFormat="1" ht="31.85" customHeight="1" thickBot="1" x14ac:dyDescent="0.35">
      <c r="B31" s="323" t="s" vm="187">
        <v>170</v>
      </c>
      <c r="C31" s="190" vm="652">
        <v>0</v>
      </c>
      <c r="D31" s="218">
        <v>0</v>
      </c>
      <c r="E31" s="190" vm="1300">
        <v>0</v>
      </c>
      <c r="F31" s="218">
        <v>0</v>
      </c>
      <c r="G31" s="307" t="s">
        <v>145</v>
      </c>
      <c r="H31" s="228" vm="899">
        <v>0</v>
      </c>
      <c r="I31" s="218">
        <v>0</v>
      </c>
      <c r="J31" s="190" vm="1626">
        <v>0</v>
      </c>
      <c r="K31" s="218">
        <v>0</v>
      </c>
      <c r="L31" s="291" t="s">
        <v>145</v>
      </c>
    </row>
    <row r="32" spans="2:12" ht="37.549999999999997" customHeight="1" thickBot="1" x14ac:dyDescent="0.35">
      <c r="B32" s="324" t="s" vm="174">
        <v>171</v>
      </c>
      <c r="C32" s="192" vm="1118">
        <v>0</v>
      </c>
      <c r="D32" s="216">
        <v>0</v>
      </c>
      <c r="E32" s="192" vm="1006">
        <v>0</v>
      </c>
      <c r="F32" s="216">
        <v>0</v>
      </c>
      <c r="G32" s="295" t="s">
        <v>145</v>
      </c>
      <c r="H32" s="196" vm="694">
        <v>0</v>
      </c>
      <c r="I32" s="216">
        <v>0</v>
      </c>
      <c r="J32" s="192" vm="702">
        <v>0</v>
      </c>
      <c r="K32" s="216">
        <v>0</v>
      </c>
      <c r="L32" s="295" t="s">
        <v>145</v>
      </c>
    </row>
    <row r="33" spans="2:21" s="18" customFormat="1" ht="31.85" customHeight="1" thickBot="1" x14ac:dyDescent="0.35">
      <c r="B33" s="323" t="s" vm="186">
        <v>172</v>
      </c>
      <c r="C33" s="190" vm="739">
        <v>0</v>
      </c>
      <c r="D33" s="218">
        <v>0</v>
      </c>
      <c r="E33" s="190" vm="1150">
        <v>0</v>
      </c>
      <c r="F33" s="218">
        <v>0</v>
      </c>
      <c r="G33" s="307" t="s">
        <v>145</v>
      </c>
      <c r="H33" s="228" vm="684">
        <v>0</v>
      </c>
      <c r="I33" s="218">
        <v>0</v>
      </c>
      <c r="J33" s="190" vm="839">
        <v>0</v>
      </c>
      <c r="K33" s="218">
        <v>0</v>
      </c>
      <c r="L33" s="291" t="s">
        <v>145</v>
      </c>
    </row>
    <row r="34" spans="2:21" ht="37.549999999999997" customHeight="1" thickBot="1" x14ac:dyDescent="0.35">
      <c r="B34" s="324" t="s" vm="173">
        <v>173</v>
      </c>
      <c r="C34" s="192" vm="1336">
        <v>0</v>
      </c>
      <c r="D34" s="216">
        <v>0</v>
      </c>
      <c r="E34" s="192" vm="1018">
        <v>0</v>
      </c>
      <c r="F34" s="216">
        <v>0</v>
      </c>
      <c r="G34" s="295" t="s">
        <v>145</v>
      </c>
      <c r="H34" s="196" vm="1147">
        <v>0</v>
      </c>
      <c r="I34" s="216">
        <v>0</v>
      </c>
      <c r="J34" s="192" vm="1544">
        <v>0</v>
      </c>
      <c r="K34" s="216">
        <v>0</v>
      </c>
      <c r="L34" s="295" t="s">
        <v>145</v>
      </c>
    </row>
    <row r="35" spans="2:21" s="55" customFormat="1" ht="4.45" customHeight="1" x14ac:dyDescent="0.3">
      <c r="B35" s="69"/>
      <c r="C35" s="15"/>
      <c r="D35" s="70"/>
      <c r="E35" s="15"/>
      <c r="F35" s="70"/>
      <c r="G35" s="235"/>
      <c r="H35" s="36"/>
      <c r="I35" s="70"/>
      <c r="J35" s="17"/>
      <c r="K35" s="70"/>
      <c r="L35" s="291"/>
      <c r="M35" s="70"/>
      <c r="N35" s="70"/>
      <c r="O35" s="70"/>
      <c r="P35" s="70"/>
      <c r="Q35" s="54"/>
      <c r="R35" s="54"/>
      <c r="S35" s="54"/>
      <c r="T35" s="54"/>
      <c r="U35" s="54"/>
    </row>
    <row r="36" spans="2:21" ht="23.3" customHeight="1" x14ac:dyDescent="0.3">
      <c r="B36" s="241" t="s">
        <v>68</v>
      </c>
      <c r="C36" s="275">
        <v>431856219.63000005</v>
      </c>
      <c r="D36" s="312"/>
      <c r="E36" s="275">
        <v>489115996.53000003</v>
      </c>
      <c r="F36" s="312"/>
      <c r="G36" s="311">
        <v>13.258990908839579</v>
      </c>
      <c r="H36" s="277">
        <v>1441035</v>
      </c>
      <c r="I36" s="312"/>
      <c r="J36" s="275">
        <v>1483373</v>
      </c>
      <c r="K36" s="312"/>
      <c r="L36" s="311">
        <v>2.9380271818519361</v>
      </c>
    </row>
    <row r="37" spans="2:21" x14ac:dyDescent="0.3">
      <c r="B37" s="75"/>
      <c r="C37" s="75"/>
      <c r="D37" s="75"/>
      <c r="E37" s="75"/>
      <c r="F37" s="75"/>
      <c r="G37" s="81"/>
      <c r="H37" s="75"/>
      <c r="I37" s="75"/>
      <c r="J37" s="75"/>
      <c r="K37" s="75"/>
      <c r="L37" s="81"/>
      <c r="M37" s="18"/>
      <c r="N37" s="18"/>
      <c r="O37" s="18"/>
      <c r="P37" s="18"/>
    </row>
    <row r="38" spans="2:21" x14ac:dyDescent="0.3">
      <c r="B38" s="75"/>
      <c r="C38" s="75"/>
      <c r="D38" s="75"/>
      <c r="E38" s="75"/>
      <c r="F38" s="75"/>
      <c r="G38" s="81"/>
      <c r="H38" s="75"/>
      <c r="I38" s="75"/>
      <c r="J38" s="75"/>
      <c r="K38" s="75"/>
      <c r="L38" s="81"/>
      <c r="M38" s="18"/>
      <c r="N38" s="18"/>
      <c r="O38" s="18"/>
      <c r="P38" s="18"/>
    </row>
  </sheetData>
  <mergeCells count="5">
    <mergeCell ref="A1:L1"/>
    <mergeCell ref="A2:L2"/>
    <mergeCell ref="B5:B6"/>
    <mergeCell ref="C5:G5"/>
    <mergeCell ref="H5:L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rowBreaks count="1" manualBreakCount="1">
    <brk id="22" max="11" man="1"/>
  </rowBreaks>
  <customProperties>
    <customPr name="Version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6" tint="0.39997558519241921"/>
  </sheetPr>
  <dimension ref="A1:Q38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5.296875" style="8" customWidth="1"/>
    <col min="2" max="2" width="47.3984375" style="8" customWidth="1"/>
    <col min="3" max="4" width="17.3984375" style="8" bestFit="1" customWidth="1"/>
    <col min="5" max="5" width="11.69921875" style="61" bestFit="1" customWidth="1"/>
    <col min="6" max="7" width="13.69921875" style="8" bestFit="1" customWidth="1"/>
    <col min="8" max="8" width="11.59765625" style="61" customWidth="1"/>
    <col min="9" max="16384" width="9.296875" style="8"/>
  </cols>
  <sheetData>
    <row r="1" spans="1:13" s="18" customFormat="1" ht="58.85" customHeight="1" x14ac:dyDescent="0.3">
      <c r="A1" s="372" t="s">
        <v>141</v>
      </c>
      <c r="B1" s="372"/>
      <c r="C1" s="372"/>
      <c r="D1" s="372"/>
      <c r="E1" s="372"/>
      <c r="F1" s="372"/>
      <c r="G1" s="372"/>
      <c r="H1" s="372"/>
    </row>
    <row r="2" spans="1:13" s="18" customFormat="1" ht="13.85" x14ac:dyDescent="0.3">
      <c r="A2" s="347"/>
      <c r="B2" s="347"/>
      <c r="C2" s="347"/>
      <c r="D2" s="347"/>
      <c r="E2" s="347"/>
      <c r="F2" s="347"/>
      <c r="G2" s="347"/>
      <c r="H2" s="347"/>
    </row>
    <row r="3" spans="1:13" ht="21.75" customHeight="1" x14ac:dyDescent="0.3"/>
    <row r="4" spans="1:13" ht="4.8499999999999996" customHeight="1" thickBot="1" x14ac:dyDescent="0.35"/>
    <row r="5" spans="1:13" s="53" customFormat="1" ht="14.95" customHeight="1" x14ac:dyDescent="0.3">
      <c r="B5" s="369" t="s">
        <v>44</v>
      </c>
      <c r="C5" s="367" t="s">
        <v>37</v>
      </c>
      <c r="D5" s="367"/>
      <c r="E5" s="367"/>
      <c r="F5" s="367" t="s">
        <v>41</v>
      </c>
      <c r="G5" s="367"/>
      <c r="H5" s="368"/>
    </row>
    <row r="6" spans="1:13" s="54" customFormat="1" ht="23.85" thickBot="1" x14ac:dyDescent="0.35">
      <c r="B6" s="370"/>
      <c r="C6" s="6" t="s">
        <v>143</v>
      </c>
      <c r="D6" s="6" t="s">
        <v>144</v>
      </c>
      <c r="E6" s="22" t="s">
        <v>142</v>
      </c>
      <c r="F6" s="6" t="s">
        <v>143</v>
      </c>
      <c r="G6" s="6" t="s">
        <v>144</v>
      </c>
      <c r="H6" s="24" t="s">
        <v>142</v>
      </c>
    </row>
    <row r="7" spans="1:13" s="55" customFormat="1" ht="3.05" customHeight="1" x14ac:dyDescent="0.3">
      <c r="C7" s="54"/>
      <c r="D7" s="54"/>
      <c r="E7" s="56"/>
      <c r="F7" s="54"/>
      <c r="G7" s="54"/>
      <c r="H7" s="56"/>
      <c r="I7" s="54"/>
      <c r="J7" s="54"/>
      <c r="K7" s="54"/>
      <c r="L7" s="54"/>
      <c r="M7" s="54"/>
    </row>
    <row r="8" spans="1:13" s="18" customFormat="1" ht="37.549999999999997" customHeight="1" x14ac:dyDescent="0.3">
      <c r="B8" s="14" t="s" vm="185">
        <v>147</v>
      </c>
      <c r="C8" s="190" vm="1121">
        <v>198976204.55999997</v>
      </c>
      <c r="D8" s="190" vm="1320">
        <v>194944160.95000002</v>
      </c>
      <c r="E8" s="313">
        <v>-2.0263948741589957</v>
      </c>
      <c r="F8" s="213" vm="1521">
        <v>6390</v>
      </c>
      <c r="G8" s="189" vm="1313">
        <v>5738</v>
      </c>
      <c r="H8" s="181">
        <v>-10.203442879499221</v>
      </c>
    </row>
    <row r="9" spans="1:13" s="18" customFormat="1" ht="37.549999999999997" customHeight="1" x14ac:dyDescent="0.3">
      <c r="B9" s="14" t="s" vm="198">
        <v>148</v>
      </c>
      <c r="C9" s="190" vm="1794">
        <v>2225344.9500000002</v>
      </c>
      <c r="D9" s="190" vm="1792">
        <v>1582352.65</v>
      </c>
      <c r="E9" s="296">
        <v>-28.894050785250187</v>
      </c>
      <c r="F9" s="213" vm="1644">
        <v>187</v>
      </c>
      <c r="G9" s="189" vm="1532">
        <v>52</v>
      </c>
      <c r="H9" s="181">
        <v>-72.192513368983953</v>
      </c>
    </row>
    <row r="10" spans="1:13" s="18" customFormat="1" ht="37.549999999999997" customHeight="1" x14ac:dyDescent="0.3">
      <c r="B10" s="14" t="s" vm="184">
        <v>149</v>
      </c>
      <c r="C10" s="190" vm="1353">
        <v>3474199.42</v>
      </c>
      <c r="D10" s="190" vm="914">
        <v>4656724.3999999994</v>
      </c>
      <c r="E10" s="296">
        <v>34.037337442189767</v>
      </c>
      <c r="F10" s="213" vm="750">
        <v>253</v>
      </c>
      <c r="G10" s="189" vm="1671">
        <v>222</v>
      </c>
      <c r="H10" s="181">
        <v>-12.252964426877469</v>
      </c>
    </row>
    <row r="11" spans="1:13" s="18" customFormat="1" ht="37.549999999999997" customHeight="1" x14ac:dyDescent="0.3">
      <c r="B11" s="14" t="s" vm="197">
        <v>150</v>
      </c>
      <c r="C11" s="190" vm="1806">
        <v>4183747.0300000003</v>
      </c>
      <c r="D11" s="190" vm="1907">
        <v>3781791.32</v>
      </c>
      <c r="E11" s="296">
        <v>-9.6075529212864552</v>
      </c>
      <c r="F11" s="213" vm="1462">
        <v>346</v>
      </c>
      <c r="G11" s="189" vm="1871">
        <v>275</v>
      </c>
      <c r="H11" s="181">
        <v>-20.520231213872833</v>
      </c>
    </row>
    <row r="12" spans="1:13" s="18" customFormat="1" ht="37.549999999999997" customHeight="1" x14ac:dyDescent="0.3">
      <c r="B12" s="14" t="s" vm="183">
        <v>151</v>
      </c>
      <c r="C12" s="190" vm="1391">
        <v>6139303.0300000003</v>
      </c>
      <c r="D12" s="190" vm="1686">
        <v>4766778.43</v>
      </c>
      <c r="E12" s="296">
        <v>-22.356358584892988</v>
      </c>
      <c r="F12" s="213" vm="1179">
        <v>295</v>
      </c>
      <c r="G12" s="189" vm="1799">
        <v>219</v>
      </c>
      <c r="H12" s="181">
        <v>-25.762711864406782</v>
      </c>
    </row>
    <row r="13" spans="1:13" s="18" customFormat="1" ht="37.549999999999997" customHeight="1" thickBot="1" x14ac:dyDescent="0.35">
      <c r="B13" s="14" t="s" vm="196">
        <v>152</v>
      </c>
      <c r="C13" s="190" vm="1302">
        <v>2317880.4699999997</v>
      </c>
      <c r="D13" s="190" vm="1928">
        <v>3510649.47</v>
      </c>
      <c r="E13" s="296">
        <v>51.459469780165193</v>
      </c>
      <c r="F13" s="213" vm="884">
        <v>56</v>
      </c>
      <c r="G13" s="189" vm="1706">
        <v>59</v>
      </c>
      <c r="H13" s="181">
        <v>5.3571428571428612</v>
      </c>
    </row>
    <row r="14" spans="1:13" ht="37.549999999999997" customHeight="1" thickBot="1" x14ac:dyDescent="0.35">
      <c r="B14" s="110" t="s" vm="199">
        <v>153</v>
      </c>
      <c r="C14" s="192" vm="1379">
        <v>217316679.46000001</v>
      </c>
      <c r="D14" s="192" vm="1893">
        <v>213242457.22</v>
      </c>
      <c r="E14" s="297">
        <v>-1.8747857965269077</v>
      </c>
      <c r="F14" s="192" vm="815">
        <v>7527</v>
      </c>
      <c r="G14" s="191" vm="868">
        <v>6565</v>
      </c>
      <c r="H14" s="314">
        <v>-12.780656303972364</v>
      </c>
    </row>
    <row r="15" spans="1:13" s="18" customFormat="1" ht="35.450000000000003" customHeight="1" x14ac:dyDescent="0.3">
      <c r="B15" s="14" t="s" vm="195">
        <v>154</v>
      </c>
      <c r="C15" s="190" vm="1068">
        <v>657383.47</v>
      </c>
      <c r="D15" s="190" vm="1756">
        <v>515564.54</v>
      </c>
      <c r="E15" s="296">
        <v>-21.573242479005444</v>
      </c>
      <c r="F15" s="213" vm="1406">
        <v>38</v>
      </c>
      <c r="G15" s="189" vm="1177">
        <v>91</v>
      </c>
      <c r="H15" s="181">
        <v>139.47368421052633</v>
      </c>
    </row>
    <row r="16" spans="1:13" s="18" customFormat="1" ht="35.450000000000003" customHeight="1" x14ac:dyDescent="0.3">
      <c r="B16" s="14" t="s" vm="181">
        <v>155</v>
      </c>
      <c r="C16" s="190" vm="1537">
        <v>556739.22</v>
      </c>
      <c r="D16" s="190" vm="1423">
        <v>818045.66</v>
      </c>
      <c r="E16" s="296">
        <v>46.935159337256692</v>
      </c>
      <c r="F16" s="213" vm="1718">
        <v>104</v>
      </c>
      <c r="G16" s="189" vm="1898">
        <v>214</v>
      </c>
      <c r="H16" s="181">
        <v>105.76923076923075</v>
      </c>
    </row>
    <row r="17" spans="2:8" s="18" customFormat="1" ht="35.450000000000003" customHeight="1" thickBot="1" x14ac:dyDescent="0.35">
      <c r="B17" s="14" t="s" vm="194">
        <v>156</v>
      </c>
      <c r="C17" s="190" vm="1104">
        <v>15388.31</v>
      </c>
      <c r="D17" s="190" vm="1727">
        <v>6938.35</v>
      </c>
      <c r="E17" s="296">
        <v>-54.911552990549318</v>
      </c>
      <c r="F17" s="213" vm="1601">
        <v>0</v>
      </c>
      <c r="G17" s="189" vm="1431">
        <v>0</v>
      </c>
      <c r="H17" s="181" t="s">
        <v>145</v>
      </c>
    </row>
    <row r="18" spans="2:8" ht="37.549999999999997" customHeight="1" thickBot="1" x14ac:dyDescent="0.35">
      <c r="B18" s="110" t="s" vm="182">
        <v>157</v>
      </c>
      <c r="C18" s="192" vm="1373">
        <v>1229511</v>
      </c>
      <c r="D18" s="192" vm="1896">
        <v>1340548.5499999998</v>
      </c>
      <c r="E18" s="297">
        <v>9.0310334759103199</v>
      </c>
      <c r="F18" s="192" vm="1569">
        <v>142</v>
      </c>
      <c r="G18" s="191" vm="1400">
        <v>305</v>
      </c>
      <c r="H18" s="314">
        <v>114.78873239436621</v>
      </c>
    </row>
    <row r="19" spans="2:8" ht="38.25" customHeight="1" x14ac:dyDescent="0.3">
      <c r="B19" s="14" t="s" vm="193">
        <v>158</v>
      </c>
      <c r="C19" s="190" vm="1663">
        <v>3577704.81</v>
      </c>
      <c r="D19" s="190" vm="1614">
        <v>2671878.67</v>
      </c>
      <c r="E19" s="296">
        <v>-25.31863829201717</v>
      </c>
      <c r="F19" s="213" vm="1465">
        <v>532</v>
      </c>
      <c r="G19" s="189" vm="1680">
        <v>425</v>
      </c>
      <c r="H19" s="181">
        <v>-20.112781954887211</v>
      </c>
    </row>
    <row r="20" spans="2:8" ht="38.25" customHeight="1" x14ac:dyDescent="0.3">
      <c r="B20" s="14" t="s" vm="179">
        <v>159</v>
      </c>
      <c r="C20" s="190" vm="1028">
        <v>12695.55</v>
      </c>
      <c r="D20" s="190" vm="1774">
        <v>8568.58</v>
      </c>
      <c r="E20" s="296">
        <v>-32.507217095754029</v>
      </c>
      <c r="F20" s="213" vm="1639">
        <v>8</v>
      </c>
      <c r="G20" s="189" vm="1622">
        <v>4</v>
      </c>
      <c r="H20" s="181">
        <v>-50</v>
      </c>
    </row>
    <row r="21" spans="2:8" ht="38.25" customHeight="1" thickBot="1" x14ac:dyDescent="0.35">
      <c r="B21" s="14" t="s" vm="192">
        <v>160</v>
      </c>
      <c r="C21" s="190" vm="1735">
        <v>450512.68</v>
      </c>
      <c r="D21" s="190" vm="1604">
        <v>461452.70000000007</v>
      </c>
      <c r="E21" s="296">
        <v>2.4283489645619056</v>
      </c>
      <c r="F21" s="213" vm="1762">
        <v>172</v>
      </c>
      <c r="G21" s="189" vm="1099">
        <v>165</v>
      </c>
      <c r="H21" s="181">
        <v>-4.0697674418604635</v>
      </c>
    </row>
    <row r="22" spans="2:8" ht="37.549999999999997" customHeight="1" thickBot="1" x14ac:dyDescent="0.35">
      <c r="B22" s="324" t="s" vm="180">
        <v>161</v>
      </c>
      <c r="C22" s="192" vm="1013">
        <v>4040913.04</v>
      </c>
      <c r="D22" s="192" vm="841">
        <v>3141899.95</v>
      </c>
      <c r="E22" s="297">
        <v>-22.247771261120732</v>
      </c>
      <c r="F22" s="192" vm="683">
        <v>712</v>
      </c>
      <c r="G22" s="191" vm="720">
        <v>594</v>
      </c>
      <c r="H22" s="314">
        <v>-16.573033707865164</v>
      </c>
    </row>
    <row r="23" spans="2:8" s="18" customFormat="1" ht="31.85" customHeight="1" thickBot="1" x14ac:dyDescent="0.35">
      <c r="B23" s="323" t="s" vm="191">
        <v>162</v>
      </c>
      <c r="C23" s="190" vm="895">
        <v>1146803.24</v>
      </c>
      <c r="D23" s="190" vm="903">
        <v>1142443.28</v>
      </c>
      <c r="E23" s="296">
        <v>-0.38018378810997433</v>
      </c>
      <c r="F23" s="213" vm="833">
        <v>45</v>
      </c>
      <c r="G23" s="189" vm="1297">
        <v>33</v>
      </c>
      <c r="H23" s="181">
        <v>-26.666666666666671</v>
      </c>
    </row>
    <row r="24" spans="2:8" ht="37.549999999999997" customHeight="1" thickBot="1" x14ac:dyDescent="0.35">
      <c r="B24" s="324" t="s" vm="178">
        <v>163</v>
      </c>
      <c r="C24" s="192" vm="729">
        <v>1146803.24</v>
      </c>
      <c r="D24" s="192" vm="1310">
        <v>1142443.28</v>
      </c>
      <c r="E24" s="297">
        <v>-0.38018378810997433</v>
      </c>
      <c r="F24" s="192" vm="1159">
        <v>45</v>
      </c>
      <c r="G24" s="191" vm="825">
        <v>33</v>
      </c>
      <c r="H24" s="314">
        <v>-26.666666666666671</v>
      </c>
    </row>
    <row r="25" spans="2:8" s="18" customFormat="1" ht="37.549999999999997" customHeight="1" x14ac:dyDescent="0.3">
      <c r="B25" s="323" t="s" vm="190">
        <v>164</v>
      </c>
      <c r="C25" s="190" vm="930">
        <v>5552506.79</v>
      </c>
      <c r="D25" s="190" vm="1164">
        <v>4639752.16</v>
      </c>
      <c r="E25" s="296">
        <v>-16.438604481202262</v>
      </c>
      <c r="F25" s="213" vm="1252">
        <v>548</v>
      </c>
      <c r="G25" s="189" vm="1890">
        <v>415</v>
      </c>
      <c r="H25" s="181">
        <v>-24.270072992700733</v>
      </c>
    </row>
    <row r="26" spans="2:8" s="18" customFormat="1" ht="37.549999999999997" customHeight="1" x14ac:dyDescent="0.3">
      <c r="B26" s="323" t="s" vm="176">
        <v>165</v>
      </c>
      <c r="C26" s="190" vm="1016">
        <v>0</v>
      </c>
      <c r="D26" s="190" vm="819">
        <v>0</v>
      </c>
      <c r="E26" s="296" t="s">
        <v>145</v>
      </c>
      <c r="F26" s="213" vm="1272">
        <v>0</v>
      </c>
      <c r="G26" s="189" vm="1237">
        <v>0</v>
      </c>
      <c r="H26" s="181" t="s">
        <v>145</v>
      </c>
    </row>
    <row r="27" spans="2:8" s="18" customFormat="1" ht="37.549999999999997" customHeight="1" x14ac:dyDescent="0.3">
      <c r="B27" s="323" t="s" vm="189">
        <v>166</v>
      </c>
      <c r="C27" s="190" vm="1630">
        <v>0</v>
      </c>
      <c r="D27" s="190" vm="709">
        <v>0</v>
      </c>
      <c r="E27" s="296" t="s">
        <v>145</v>
      </c>
      <c r="F27" s="213" vm="1026">
        <v>0</v>
      </c>
      <c r="G27" s="189" vm="761">
        <v>0</v>
      </c>
      <c r="H27" s="181" t="s">
        <v>145</v>
      </c>
    </row>
    <row r="28" spans="2:8" s="18" customFormat="1" ht="37.549999999999997" customHeight="1" x14ac:dyDescent="0.3">
      <c r="B28" s="323" t="s" vm="175">
        <v>167</v>
      </c>
      <c r="C28" s="190" vm="691">
        <v>2473737.33</v>
      </c>
      <c r="D28" s="190" vm="1095">
        <v>5561523.4399999995</v>
      </c>
      <c r="E28" s="296">
        <v>124.82271551442366</v>
      </c>
      <c r="F28" s="213" vm="1091">
        <v>85</v>
      </c>
      <c r="G28" s="189" vm="757">
        <v>160</v>
      </c>
      <c r="H28" s="181">
        <v>88.235294117647044</v>
      </c>
    </row>
    <row r="29" spans="2:8" s="18" customFormat="1" ht="37.549999999999997" customHeight="1" thickBot="1" x14ac:dyDescent="0.35">
      <c r="B29" s="323" t="s" vm="188">
        <v>168</v>
      </c>
      <c r="C29" s="190" vm="1773">
        <v>6784283.9199999999</v>
      </c>
      <c r="D29" s="190" vm="807">
        <v>6303722.2699999996</v>
      </c>
      <c r="E29" s="296">
        <v>-7.0834542844427517</v>
      </c>
      <c r="F29" s="213" vm="1245">
        <v>464</v>
      </c>
      <c r="G29" s="189" vm="952">
        <v>335</v>
      </c>
      <c r="H29" s="181">
        <v>-27.801724137931032</v>
      </c>
    </row>
    <row r="30" spans="2:8" ht="37.549999999999997" customHeight="1" thickBot="1" x14ac:dyDescent="0.35">
      <c r="B30" s="324" t="s" vm="177">
        <v>169</v>
      </c>
      <c r="C30" s="192" vm="1515">
        <v>14810528.039999999</v>
      </c>
      <c r="D30" s="192" vm="1519">
        <v>16504997.870000001</v>
      </c>
      <c r="E30" s="297">
        <v>11.440981884127339</v>
      </c>
      <c r="F30" s="192" vm="1127">
        <v>1097</v>
      </c>
      <c r="G30" s="191" vm="730">
        <v>910</v>
      </c>
      <c r="H30" s="314">
        <v>-17.046490428441203</v>
      </c>
    </row>
    <row r="31" spans="2:8" s="18" customFormat="1" ht="31.85" customHeight="1" thickBot="1" x14ac:dyDescent="0.35">
      <c r="B31" s="323" t="s" vm="187">
        <v>170</v>
      </c>
      <c r="C31" s="190" vm="898">
        <v>0</v>
      </c>
      <c r="D31" s="190" vm="1620">
        <v>0</v>
      </c>
      <c r="E31" s="296" t="s">
        <v>145</v>
      </c>
      <c r="F31" s="213" vm="745">
        <v>0</v>
      </c>
      <c r="G31" s="189" vm="1244">
        <v>0</v>
      </c>
      <c r="H31" s="181" t="s">
        <v>145</v>
      </c>
    </row>
    <row r="32" spans="2:8" ht="37.549999999999997" customHeight="1" thickBot="1" x14ac:dyDescent="0.35">
      <c r="B32" s="324" t="s" vm="174">
        <v>171</v>
      </c>
      <c r="C32" s="192" vm="718">
        <v>0</v>
      </c>
      <c r="D32" s="192" vm="1050">
        <v>0</v>
      </c>
      <c r="E32" s="297" t="s">
        <v>145</v>
      </c>
      <c r="F32" s="192" vm="981">
        <v>0</v>
      </c>
      <c r="G32" s="191" vm="1291">
        <v>0</v>
      </c>
      <c r="H32" s="314" t="s">
        <v>145</v>
      </c>
    </row>
    <row r="33" spans="2:17" s="18" customFormat="1" ht="31.85" customHeight="1" thickBot="1" x14ac:dyDescent="0.35">
      <c r="B33" s="323" t="s" vm="186">
        <v>172</v>
      </c>
      <c r="C33" s="190" vm="842">
        <v>0</v>
      </c>
      <c r="D33" s="190" vm="1088">
        <v>0</v>
      </c>
      <c r="E33" s="296" t="s">
        <v>145</v>
      </c>
      <c r="F33" s="213" vm="832">
        <v>0</v>
      </c>
      <c r="G33" s="189" vm="1304">
        <v>0</v>
      </c>
      <c r="H33" s="181" t="s">
        <v>145</v>
      </c>
    </row>
    <row r="34" spans="2:17" ht="37.549999999999997" customHeight="1" thickBot="1" x14ac:dyDescent="0.35">
      <c r="B34" s="324" t="s" vm="173">
        <v>173</v>
      </c>
      <c r="C34" s="192" vm="1509">
        <v>0</v>
      </c>
      <c r="D34" s="192" vm="1351">
        <v>0</v>
      </c>
      <c r="E34" s="297" t="s">
        <v>145</v>
      </c>
      <c r="F34" s="192" vm="1144">
        <v>0</v>
      </c>
      <c r="G34" s="191" vm="947">
        <v>0</v>
      </c>
      <c r="H34" s="314" t="s">
        <v>145</v>
      </c>
    </row>
    <row r="35" spans="2:17" s="55" customFormat="1" ht="3.75" customHeight="1" x14ac:dyDescent="0.3">
      <c r="B35" s="69"/>
      <c r="C35" s="15"/>
      <c r="D35" s="15"/>
      <c r="E35" s="235"/>
      <c r="F35" s="36"/>
      <c r="G35" s="17"/>
      <c r="H35" s="181"/>
      <c r="I35" s="70"/>
      <c r="J35" s="70"/>
      <c r="K35" s="70"/>
      <c r="L35" s="70"/>
      <c r="M35" s="54"/>
      <c r="N35" s="54"/>
      <c r="O35" s="54"/>
      <c r="P35" s="54"/>
      <c r="Q35" s="54"/>
    </row>
    <row r="36" spans="2:17" ht="23.3" customHeight="1" x14ac:dyDescent="0.3">
      <c r="B36" s="241" t="s">
        <v>68</v>
      </c>
      <c r="C36" s="275">
        <v>238544434.78</v>
      </c>
      <c r="D36" s="275">
        <v>235372346.87</v>
      </c>
      <c r="E36" s="302">
        <v>-1.329768146938946</v>
      </c>
      <c r="F36" s="275">
        <v>9523</v>
      </c>
      <c r="G36" s="275">
        <v>8407</v>
      </c>
      <c r="H36" s="305">
        <v>-11.71899611466975</v>
      </c>
    </row>
    <row r="37" spans="2:17" x14ac:dyDescent="0.3">
      <c r="B37" s="75"/>
      <c r="C37" s="75"/>
      <c r="D37" s="75"/>
      <c r="E37" s="81"/>
      <c r="F37" s="75"/>
      <c r="G37" s="75"/>
      <c r="H37" s="81"/>
      <c r="I37" s="18"/>
      <c r="J37" s="18"/>
      <c r="K37" s="18"/>
      <c r="L37" s="18"/>
    </row>
    <row r="38" spans="2:17" x14ac:dyDescent="0.3">
      <c r="B38" s="75"/>
      <c r="C38" s="75"/>
      <c r="D38" s="75"/>
      <c r="E38" s="81"/>
      <c r="F38" s="75"/>
      <c r="G38" s="75"/>
      <c r="H38" s="81"/>
      <c r="I38" s="18"/>
      <c r="J38" s="18"/>
      <c r="K38" s="18"/>
      <c r="L38" s="18"/>
    </row>
  </sheetData>
  <mergeCells count="5">
    <mergeCell ref="A1:H1"/>
    <mergeCell ref="A2:H2"/>
    <mergeCell ref="B5:B6"/>
    <mergeCell ref="C5:E5"/>
    <mergeCell ref="F5:H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customProperties>
    <customPr name="Version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4"/>
  <sheetViews>
    <sheetView topLeftCell="D1" workbookViewId="0">
      <selection activeCell="B8" sqref="B8"/>
    </sheetView>
  </sheetViews>
  <sheetFormatPr defaultRowHeight="14.4" x14ac:dyDescent="0.3"/>
  <cols>
    <col min="1" max="1" width="105.8984375" bestFit="1" customWidth="1"/>
    <col min="2" max="2" width="48.796875" customWidth="1"/>
    <col min="3" max="3" width="47.19921875" bestFit="1" customWidth="1"/>
    <col min="4" max="4" width="67.3984375" bestFit="1" customWidth="1"/>
    <col min="5" max="5" width="65.69921875" bestFit="1" customWidth="1"/>
  </cols>
  <sheetData>
    <row r="2" spans="1:5" x14ac:dyDescent="0.3">
      <c r="A2" t="s">
        <v>107</v>
      </c>
      <c r="B2" t="str" vm="250">
        <f>CUBESET("\\tesla\Home\mpremor\Dokumenti\My Data Sources\hvar HUOBI RH Statistika","{[Učestalost podataka].[Učestalost podatka].&amp;[7],[Učestalost podataka].[Učestalost podatka].&amp;[8]}","(Multiple Items)")</f>
        <v>(Multiple Items)</v>
      </c>
    </row>
    <row r="3" spans="1:5" x14ac:dyDescent="0.3">
      <c r="A3" t="s">
        <v>108</v>
      </c>
      <c r="B3" t="str" vm="284">
        <f>CUBEMEMBER("\\tesla\Home\mpremor\Dokumenti\My Data Sources\hvar HUOBI RH Statistika","[Godina Podatka].[Godina podatka].&amp;[2013]")</f>
        <v>2013</v>
      </c>
    </row>
    <row r="5" spans="1:5" x14ac:dyDescent="0.3">
      <c r="A5" t="s">
        <v>17</v>
      </c>
      <c r="B5" t="str" vm="258">
        <f>CUBEMEMBER("\\tesla\Home\mpremor\Dokumenti\My Data Sources\hvar HUOBI RH Statistika","[Measures].[Broj novih osiguranja s jednokratnim plaćanjem premije]")</f>
        <v>Broj novih osiguranja s jednokratnim plaćanjem premije</v>
      </c>
      <c r="C5" t="str" vm="273">
        <f>CUBEMEMBER("\\tesla\Home\mpremor\Dokumenti\My Data Sources\hvar HUOBI RH Statistika","[Measures].[Broj novih osiguranja s višekratnim plaćanjem premije]")</f>
        <v>Broj novih osiguranja s višekratnim plaćanjem premije</v>
      </c>
      <c r="D5" t="str" vm="268">
        <f>CUBEMEMBER("\\tesla\Home\mpremor\Dokumenti\My Data Sources\hvar HUOBI RH Statistika","[Measures].[Zaračunata bruto premija novih osiguranja s jednokratnim plaćanjem premije]")</f>
        <v>Zaračunata bruto premija novih osiguranja s jednokratnim plaćanjem premije</v>
      </c>
      <c r="E5" t="str" vm="263">
        <f>CUBEMEMBER("\\tesla\Home\mpremor\Dokumenti\My Data Sources\hvar HUOBI RH Statistika","[Measures].[Zaračunata bruto premija novih osiguranja s višekratnim plaćanjem premije]")</f>
        <v>Zaračunata bruto premija novih osiguranja s višekratnim plaćanjem premije</v>
      </c>
    </row>
    <row r="6" spans="1:5" x14ac:dyDescent="0.3">
      <c r="A6" s="2" t="str" vm="280">
        <f>CUBEMEMBER("\\tesla\Home\mpremor\Dokumenti\My Data Sources\hvar HUOBI RH Statistika","[Podvrste osiguranja].[hPodvrsteOsiguranja].[Skupina osiguranja].&amp;[2]")</f>
        <v>Život</v>
      </c>
      <c r="B6" vm="344">
        <f t="shared" ref="B6:E34" si="0">CUBEVALUE("\\tesla\Home\mpremor\Dokumenti\My Data Sources\hvar HUOBI RH Statistika",$B$2,$B$3,$A6,B$5)</f>
        <v>23296</v>
      </c>
      <c r="C6" vm="285">
        <f t="shared" si="0"/>
        <v>105919</v>
      </c>
      <c r="D6" vm="314">
        <f t="shared" si="0"/>
        <v>281045849.31</v>
      </c>
      <c r="E6" vm="329">
        <f t="shared" si="0"/>
        <v>66362344.739999995</v>
      </c>
    </row>
    <row r="7" spans="1:5" x14ac:dyDescent="0.3">
      <c r="A7" s="3" t="str" vm="276">
        <f>CUBEMEMBER("\\tesla\Home\mpremor\Dokumenti\My Data Sources\hvar HUOBI RH Statistika","[Podvrste osiguranja].[hPodvrsteOsiguranja].[Vrsta osiguranja].&amp;[19]")</f>
        <v>19 ŽIVOTNO OSIGURANJE</v>
      </c>
      <c r="B7" vm="384">
        <f t="shared" si="0"/>
        <v>19873</v>
      </c>
      <c r="C7" vm="286">
        <f t="shared" si="0"/>
        <v>39730</v>
      </c>
      <c r="D7" vm="356">
        <f t="shared" si="0"/>
        <v>250411978.21999997</v>
      </c>
      <c r="E7" vm="330">
        <f t="shared" si="0"/>
        <v>59481834.789999999</v>
      </c>
    </row>
    <row r="8" spans="1:5" x14ac:dyDescent="0.3">
      <c r="A8" s="5" t="str" vm="257">
        <f>CUBEMEMBER("\\tesla\Home\mpremor\Dokumenti\My Data Sources\hvar HUOBI RH Statistika","[Podvrste osiguranja].[hPodvrsteOsiguranja].[Rizik].&amp;[96]")</f>
        <v>19.01 OSIGURANJE ŽIVOTA ZA SLUČAJ SMRTI I DOŽIVLJENJA (MJEŠOVITO OSIGURANJE)</v>
      </c>
      <c r="B8" vm="345">
        <f t="shared" si="0"/>
        <v>8358</v>
      </c>
      <c r="C8" vm="287">
        <f t="shared" si="0"/>
        <v>28003</v>
      </c>
      <c r="D8" vm="357">
        <f t="shared" si="0"/>
        <v>215004514.97999999</v>
      </c>
      <c r="E8" vm="370">
        <f t="shared" si="0"/>
        <v>50504312.040000007</v>
      </c>
    </row>
    <row r="9" spans="1:5" x14ac:dyDescent="0.3">
      <c r="A9" s="5" t="str" vm="272">
        <f>CUBEMEMBER("\\tesla\Home\mpremor\Dokumenti\My Data Sources\hvar HUOBI RH Statistika","[Podvrste osiguranja].[hPodvrsteOsiguranja].[Rizik].&amp;[97]")</f>
        <v>19.02 OSIGURANJE ZA SLUČAJ SMRTI</v>
      </c>
      <c r="B9" vm="385">
        <f t="shared" si="0"/>
        <v>11348</v>
      </c>
      <c r="C9" vm="288">
        <f t="shared" si="0"/>
        <v>3919</v>
      </c>
      <c r="D9" vm="315">
        <f t="shared" si="0"/>
        <v>28849814.339999996</v>
      </c>
      <c r="E9" vm="331">
        <f t="shared" si="0"/>
        <v>2187085.3399999994</v>
      </c>
    </row>
    <row r="10" spans="1:5" x14ac:dyDescent="0.3">
      <c r="A10" s="5" t="str" vm="267">
        <f>CUBEMEMBER("\\tesla\Home\mpremor\Dokumenti\My Data Sources\hvar HUOBI RH Statistika","[Podvrste osiguranja].[hPodvrsteOsiguranja].[Rizik].&amp;[98]")</f>
        <v>19.03 OSIGURANJE ZA SLUČAJ DOŽIVLJENJA</v>
      </c>
      <c r="B10" vm="386">
        <f t="shared" si="0"/>
        <v>149</v>
      </c>
      <c r="C10" vm="289">
        <f t="shared" si="0"/>
        <v>2790</v>
      </c>
      <c r="D10" vm="358">
        <f t="shared" si="0"/>
        <v>6047492.6299999999</v>
      </c>
      <c r="E10" vm="371">
        <f t="shared" si="0"/>
        <v>4100746.8400000003</v>
      </c>
    </row>
    <row r="11" spans="1:5" x14ac:dyDescent="0.3">
      <c r="A11" s="5" t="str" vm="262">
        <f>CUBEMEMBER("\\tesla\Home\mpremor\Dokumenti\My Data Sources\hvar HUOBI RH Statistika","[Podvrste osiguranja].[hPodvrsteOsiguranja].[Rizik].&amp;[99]")</f>
        <v>19.04 DOŽIVOTNO OSIGURANJE ZA SLUČAJ SMRTI</v>
      </c>
      <c r="B11" vm="346">
        <f t="shared" si="0"/>
        <v>0</v>
      </c>
      <c r="C11" vm="290">
        <f t="shared" si="0"/>
        <v>2652</v>
      </c>
      <c r="D11" vm="316">
        <f t="shared" si="0"/>
        <v>382168.98</v>
      </c>
      <c r="E11" vm="332">
        <f t="shared" si="0"/>
        <v>714313.36</v>
      </c>
    </row>
    <row r="12" spans="1:5" x14ac:dyDescent="0.3">
      <c r="A12" s="5" t="str" vm="256">
        <f>CUBEMEMBER("\\tesla\Home\mpremor\Dokumenti\My Data Sources\hvar HUOBI RH Statistika","[Podvrste osiguranja].[hPodvrsteOsiguranja].[Rizik].&amp;[100]")</f>
        <v>19.05 OSIGURANJE KRITIČNIH BOLESTI</v>
      </c>
      <c r="B12" vm="387">
        <f t="shared" si="0"/>
        <v>7</v>
      </c>
      <c r="C12" vm="291">
        <f t="shared" si="0"/>
        <v>2250</v>
      </c>
      <c r="D12" vm="359">
        <f t="shared" si="0"/>
        <v>107706.29000000001</v>
      </c>
      <c r="E12" vm="372">
        <f t="shared" si="0"/>
        <v>1833061.7999999998</v>
      </c>
    </row>
    <row r="13" spans="1:5" x14ac:dyDescent="0.3">
      <c r="A13" s="5" t="str" vm="283">
        <f>CUBEMEMBER("\\tesla\Home\mpremor\Dokumenti\My Data Sources\hvar HUOBI RH Statistika","[Podvrste osiguranja].[hPodvrsteOsiguranja].[Rizik].&amp;[108]")</f>
        <v>19.99 OSTALA OSIGURANJA ŽIVOTA</v>
      </c>
      <c r="B13" vm="347">
        <f t="shared" si="0"/>
        <v>11</v>
      </c>
      <c r="C13" vm="292">
        <f t="shared" si="0"/>
        <v>116</v>
      </c>
      <c r="D13" vm="317">
        <f t="shared" si="0"/>
        <v>20281</v>
      </c>
      <c r="E13" vm="373">
        <f t="shared" si="0"/>
        <v>142315.41</v>
      </c>
    </row>
    <row r="14" spans="1:5" x14ac:dyDescent="0.3">
      <c r="A14" s="3" t="str" vm="279">
        <f>CUBEMEMBER("\\tesla\Home\mpremor\Dokumenti\My Data Sources\hvar HUOBI RH Statistika","[Podvrste osiguranja].[hPodvrsteOsiguranja].[Vrsta osiguranja].&amp;[20]")</f>
        <v>20 RENTNO OSIGURANJE</v>
      </c>
      <c r="B14" vm="388">
        <f t="shared" si="0"/>
        <v>39</v>
      </c>
      <c r="C14" vm="293">
        <f t="shared" si="0"/>
        <v>21</v>
      </c>
      <c r="D14" vm="360">
        <f t="shared" si="0"/>
        <v>2933530.41</v>
      </c>
      <c r="E14" vm="333">
        <f t="shared" si="0"/>
        <v>601276.92999999993</v>
      </c>
    </row>
    <row r="15" spans="1:5" x14ac:dyDescent="0.3">
      <c r="A15" s="5" t="str" vm="261">
        <f>CUBEMEMBER("\\tesla\Home\mpremor\Dokumenti\My Data Sources\hvar HUOBI RH Statistika","[Podvrste osiguranja].[hPodvrsteOsiguranja].[Rizik].&amp;[109]")</f>
        <v>20.01 OSIGURANJE OSOBNE DOŽIVOTNE RENTE</v>
      </c>
      <c r="B15" vm="348">
        <f t="shared" si="0"/>
        <v>5</v>
      </c>
      <c r="C15" vm="294">
        <f t="shared" si="0"/>
        <v>6</v>
      </c>
      <c r="D15" vm="318">
        <f t="shared" si="0"/>
        <v>1041341.27</v>
      </c>
      <c r="E15" vm="334">
        <f t="shared" si="0"/>
        <v>14613.109999999999</v>
      </c>
    </row>
    <row r="16" spans="1:5" x14ac:dyDescent="0.3">
      <c r="A16" s="5" t="str" vm="255">
        <f>CUBEMEMBER("\\tesla\Home\mpremor\Dokumenti\My Data Sources\hvar HUOBI RH Statistika","[Podvrste osiguranja].[hPodvrsteOsiguranja].[Rizik].&amp;[110]")</f>
        <v>20.02 OSIGURANJE OSOBNE RENTE S ODREĐENIM TRAJANJEM</v>
      </c>
      <c r="B16" vm="389">
        <f t="shared" si="0"/>
        <v>32</v>
      </c>
      <c r="C16" vm="295">
        <f t="shared" si="0"/>
        <v>15</v>
      </c>
      <c r="D16" vm="319">
        <f t="shared" si="0"/>
        <v>1547828.19</v>
      </c>
      <c r="E16" vm="374">
        <f t="shared" si="0"/>
        <v>586663.81999999995</v>
      </c>
    </row>
    <row r="17" spans="1:5" x14ac:dyDescent="0.3">
      <c r="A17" s="5" t="str" vm="271">
        <f>CUBEMEMBER("\\tesla\Home\mpremor\Dokumenti\My Data Sources\hvar HUOBI RH Statistika","[Podvrste osiguranja].[hPodvrsteOsiguranja].[Rizik].&amp;[111]")</f>
        <v>20.99 OSTALA RENTNA OSIGURANJA</v>
      </c>
      <c r="B17" vm="349">
        <f t="shared" si="0"/>
        <v>2</v>
      </c>
      <c r="C17" vm="296">
        <f t="shared" si="0"/>
        <v>0</v>
      </c>
      <c r="D17" vm="361">
        <f t="shared" si="0"/>
        <v>344360.95</v>
      </c>
      <c r="E17" vm="335">
        <f t="shared" si="0"/>
        <v>0</v>
      </c>
    </row>
    <row r="18" spans="1:5" x14ac:dyDescent="0.3">
      <c r="A18" s="3" t="str" vm="266">
        <f>CUBEMEMBER("\\tesla\Home\mpremor\Dokumenti\My Data Sources\hvar HUOBI RH Statistika","[Podvrste osiguranja].[hPodvrsteOsiguranja].[Vrsta osiguranja].&amp;[21]")</f>
        <v>21 DOPUNSKA OSIGURANJA ŽIVOTNOG OSIGURANJA</v>
      </c>
      <c r="B18" vm="390">
        <f t="shared" si="0"/>
        <v>2676</v>
      </c>
      <c r="C18" vm="297">
        <f t="shared" si="0"/>
        <v>64728</v>
      </c>
      <c r="D18" vm="320">
        <f t="shared" si="0"/>
        <v>1354583.71</v>
      </c>
      <c r="E18" vm="375">
        <f t="shared" si="0"/>
        <v>4478196.2699999996</v>
      </c>
    </row>
    <row r="19" spans="1:5" x14ac:dyDescent="0.3">
      <c r="A19" s="5" t="str" vm="275">
        <f>CUBEMEMBER("\\tesla\Home\mpremor\Dokumenti\My Data Sources\hvar HUOBI RH Statistika","[Podvrste osiguranja].[hPodvrsteOsiguranja].[Rizik].&amp;[112]")</f>
        <v>21.01 DOPUNSKO OSIGURANJE OD POSLJEDICA NEZGODE UZ OSIGURANJE ŽIVOTA</v>
      </c>
      <c r="B19" vm="350">
        <f t="shared" si="0"/>
        <v>2656</v>
      </c>
      <c r="C19" vm="298">
        <f t="shared" si="0"/>
        <v>42706</v>
      </c>
      <c r="D19" vm="362">
        <f t="shared" si="0"/>
        <v>1317982.44</v>
      </c>
      <c r="E19" vm="336">
        <f t="shared" si="0"/>
        <v>3332155.4499999997</v>
      </c>
    </row>
    <row r="20" spans="1:5" x14ac:dyDescent="0.3">
      <c r="A20" s="5" t="str" vm="254">
        <f>CUBEMEMBER("\\tesla\Home\mpremor\Dokumenti\My Data Sources\hvar HUOBI RH Statistika","[Podvrste osiguranja].[hPodvrsteOsiguranja].[Rizik].&amp;[113]")</f>
        <v>21.02 DOPUNSKO ZDRAVSTVENO OSIGURANJE UZ OSIGURANJE ŽIVOTA</v>
      </c>
      <c r="B20" vm="391">
        <f t="shared" si="0"/>
        <v>0</v>
      </c>
      <c r="C20" vm="299">
        <f t="shared" si="0"/>
        <v>745</v>
      </c>
      <c r="D20" vm="321">
        <f t="shared" si="0"/>
        <v>0</v>
      </c>
      <c r="E20" vm="376">
        <f t="shared" si="0"/>
        <v>269621.26</v>
      </c>
    </row>
    <row r="21" spans="1:5" x14ac:dyDescent="0.3">
      <c r="A21" s="5" t="str" vm="282">
        <f>CUBEMEMBER("\\tesla\Home\mpremor\Dokumenti\My Data Sources\hvar HUOBI RH Statistika","[Podvrste osiguranja].[hPodvrsteOsiguranja].[Rizik].&amp;[114]")</f>
        <v>21.99 OSTALA DOPUNSKA OSIGURANJA UZ OSIGURANJE ŽIVOTA</v>
      </c>
      <c r="B21" vm="392">
        <f t="shared" si="0"/>
        <v>20</v>
      </c>
      <c r="C21" vm="300">
        <f t="shared" si="0"/>
        <v>21277</v>
      </c>
      <c r="D21" vm="363">
        <f t="shared" si="0"/>
        <v>36601.270000000004</v>
      </c>
      <c r="E21" vm="337">
        <f t="shared" si="0"/>
        <v>876419.56</v>
      </c>
    </row>
    <row r="22" spans="1:5" x14ac:dyDescent="0.3">
      <c r="A22" s="3" t="str" vm="278">
        <f>CUBEMEMBER("\\tesla\Home\mpremor\Dokumenti\My Data Sources\hvar HUOBI RH Statistika","[Podvrste osiguranja].[hPodvrsteOsiguranja].[Vrsta osiguranja].&amp;[22]")</f>
        <v>22 OSIGURANJE ZA SLUČAJ VJENČANJA ILI ROĐENJA</v>
      </c>
      <c r="B22" vm="351">
        <f t="shared" si="0"/>
        <v>1</v>
      </c>
      <c r="C22" vm="301">
        <f t="shared" si="0"/>
        <v>41</v>
      </c>
      <c r="D22" vm="322">
        <f t="shared" si="0"/>
        <v>22788</v>
      </c>
      <c r="E22" vm="377">
        <f t="shared" si="0"/>
        <v>63310.64</v>
      </c>
    </row>
    <row r="23" spans="1:5" x14ac:dyDescent="0.3">
      <c r="A23" s="5" t="str" vm="260">
        <f>CUBEMEMBER("\\tesla\Home\mpremor\Dokumenti\My Data Sources\hvar HUOBI RH Statistika","[Podvrste osiguranja].[hPodvrsteOsiguranja].[Rizik].&amp;[115]")</f>
        <v>22.01 OSIGURANJE ZA SLUČAJ VJENČANJA ILI ROĐENJA</v>
      </c>
      <c r="B23" vm="393">
        <f t="shared" si="0"/>
        <v>1</v>
      </c>
      <c r="C23" vm="302">
        <f t="shared" si="0"/>
        <v>41</v>
      </c>
      <c r="D23" vm="364">
        <f t="shared" si="0"/>
        <v>22788</v>
      </c>
      <c r="E23" vm="338">
        <f t="shared" si="0"/>
        <v>63310.64</v>
      </c>
    </row>
    <row r="24" spans="1:5" x14ac:dyDescent="0.3">
      <c r="A24" s="3" t="str" vm="253">
        <f>CUBEMEMBER("\\tesla\Home\mpremor\Dokumenti\My Data Sources\hvar HUOBI RH Statistika","[Podvrste osiguranja].[hPodvrsteOsiguranja].[Vrsta osiguranja].&amp;[23]")</f>
        <v>23 ŽIVOTNA ILI RENTNA OSIGURANJA KOD KOJIH UGOVARATELJ OSIGURANJA SNOSI RIZIK ULAGANJA</v>
      </c>
      <c r="B24" vm="352">
        <f t="shared" si="0"/>
        <v>707</v>
      </c>
      <c r="C24" vm="303">
        <f t="shared" si="0"/>
        <v>1399</v>
      </c>
      <c r="D24" vm="323">
        <f t="shared" si="0"/>
        <v>26322968.970000003</v>
      </c>
      <c r="E24" vm="378">
        <f t="shared" si="0"/>
        <v>1737726.1100000003</v>
      </c>
    </row>
    <row r="25" spans="1:5" x14ac:dyDescent="0.3">
      <c r="A25" s="5" t="str" vm="270">
        <f>CUBEMEMBER("\\tesla\Home\mpremor\Dokumenti\My Data Sources\hvar HUOBI RH Statistika","[Podvrste osiguranja].[hPodvrsteOsiguranja].[Rizik].&amp;[116]")</f>
        <v>23.01 OSIG. ŽIVOTA ZA SLUČAJ SMRTI I DOŽIVLJENJA KOD KOJEG OSIGURANIK NA SEBE PREUZIMA INV. RIZIK</v>
      </c>
      <c r="B25" vm="394">
        <f t="shared" si="0"/>
        <v>33</v>
      </c>
      <c r="C25" vm="304">
        <f t="shared" si="0"/>
        <v>605</v>
      </c>
      <c r="D25" vm="365">
        <f t="shared" si="0"/>
        <v>443359.37</v>
      </c>
      <c r="E25" vm="339">
        <f t="shared" si="0"/>
        <v>593215.87</v>
      </c>
    </row>
    <row r="26" spans="1:5" x14ac:dyDescent="0.3">
      <c r="A26" s="5" t="str" vm="265">
        <f>CUBEMEMBER("\\tesla\Home\mpremor\Dokumenti\My Data Sources\hvar HUOBI RH Statistika","[Podvrste osiguranja].[hPodvrsteOsiguranja].[Rizik].&amp;[117]")</f>
        <v>23.02 OSIGURANJE ZA SLUČAJ SMRTI KOD KOJEG OSIGURANIK NA SEBE PREUZIMA INVESTICIJSKI RIZIK</v>
      </c>
      <c r="B26" vm="395">
        <f t="shared" si="0"/>
        <v>0</v>
      </c>
      <c r="C26" vm="305">
        <f t="shared" si="0"/>
        <v>0</v>
      </c>
      <c r="D26" vm="324">
        <f t="shared" si="0"/>
        <v>0</v>
      </c>
      <c r="E26" vm="379">
        <f t="shared" si="0"/>
        <v>0</v>
      </c>
    </row>
    <row r="27" spans="1:5" x14ac:dyDescent="0.3">
      <c r="A27" s="5" t="str" vm="274">
        <f>CUBEMEMBER("\\tesla\Home\mpremor\Dokumenti\My Data Sources\hvar HUOBI RH Statistika","[Podvrste osiguranja].[hPodvrsteOsiguranja].[Rizik].&amp;[118]")</f>
        <v>23.03 OSIGURANJE ZA SLUČAJ DOŽIVLJENJA KOD KOJEG OSIGURANIK NA SEBE PREUZIMA INVESTICIJSKI RIZIK</v>
      </c>
      <c r="B27" vm="353">
        <f t="shared" si="0"/>
        <v>0</v>
      </c>
      <c r="C27" vm="306">
        <f t="shared" si="0"/>
        <v>0</v>
      </c>
      <c r="D27" vm="366">
        <f t="shared" si="0"/>
        <v>0</v>
      </c>
      <c r="E27" vm="340">
        <f t="shared" si="0"/>
        <v>0</v>
      </c>
    </row>
    <row r="28" spans="1:5" x14ac:dyDescent="0.3">
      <c r="A28" s="5" t="str" vm="252">
        <f>CUBEMEMBER("\\tesla\Home\mpremor\Dokumenti\My Data Sources\hvar HUOBI RH Statistika","[Podvrste osiguranja].[hPodvrsteOsiguranja].[Rizik].&amp;[119]")</f>
        <v>23.04 ŽIVOTNO OSIGURANJE KOD KOJEG OSIGURANIK NA SEBE PREUZIMA INVESTICIJSKI RIZIK S GARANCIJOM ISPLATE</v>
      </c>
      <c r="B28" vm="396">
        <f t="shared" si="0"/>
        <v>602</v>
      </c>
      <c r="C28" vm="307">
        <f t="shared" si="0"/>
        <v>0</v>
      </c>
      <c r="D28" vm="325">
        <f t="shared" si="0"/>
        <v>24149228.260000002</v>
      </c>
      <c r="E28" vm="341">
        <f t="shared" si="0"/>
        <v>0</v>
      </c>
    </row>
    <row r="29" spans="1:5" x14ac:dyDescent="0.3">
      <c r="A29" s="5" t="str" vm="281">
        <f>CUBEMEMBER("\\tesla\Home\mpremor\Dokumenti\My Data Sources\hvar HUOBI RH Statistika","[Podvrste osiguranja].[hPodvrsteOsiguranja].[Rizik].&amp;[120]")</f>
        <v>23.99 OSTALA ŽIVOTNA OSIGURANJA KOD KOJIH OSIGURANIK NA SEBE PREUZIMA INVESTICIJSKI RIZIK</v>
      </c>
      <c r="B29" vm="397">
        <f t="shared" si="0"/>
        <v>72</v>
      </c>
      <c r="C29" vm="308">
        <f t="shared" si="0"/>
        <v>794</v>
      </c>
      <c r="D29" vm="367">
        <f t="shared" si="0"/>
        <v>1730381.34</v>
      </c>
      <c r="E29" vm="380">
        <f t="shared" si="0"/>
        <v>1144510.2400000002</v>
      </c>
    </row>
    <row r="30" spans="1:5" x14ac:dyDescent="0.3">
      <c r="A30" s="3" t="str" vm="277">
        <f>CUBEMEMBER("\\tesla\Home\mpremor\Dokumenti\My Data Sources\hvar HUOBI RH Statistika","[Podvrste osiguranja].[hPodvrsteOsiguranja].[Vrsta osiguranja].&amp;[24]")</f>
        <v>24 TONTINE</v>
      </c>
      <c r="B30" vm="354">
        <f t="shared" si="0"/>
        <v>0</v>
      </c>
      <c r="C30" vm="309">
        <f t="shared" si="0"/>
        <v>0</v>
      </c>
      <c r="D30" vm="326">
        <f t="shared" si="0"/>
        <v>0</v>
      </c>
      <c r="E30" vm="342">
        <f t="shared" si="0"/>
        <v>0</v>
      </c>
    </row>
    <row r="31" spans="1:5" x14ac:dyDescent="0.3">
      <c r="A31" s="5" t="str" vm="259">
        <f>CUBEMEMBER("\\tesla\Home\mpremor\Dokumenti\My Data Sources\hvar HUOBI RH Statistika","[Podvrste osiguranja].[hPodvrsteOsiguranja].[Rizik].&amp;[121]")</f>
        <v>24.01 TONTINE</v>
      </c>
      <c r="B31" vm="398">
        <f t="shared" si="0"/>
        <v>0</v>
      </c>
      <c r="C31" vm="310">
        <f t="shared" si="0"/>
        <v>0</v>
      </c>
      <c r="D31" vm="368">
        <f t="shared" si="0"/>
        <v>0</v>
      </c>
      <c r="E31" vm="381">
        <f t="shared" si="0"/>
        <v>0</v>
      </c>
    </row>
    <row r="32" spans="1:5" x14ac:dyDescent="0.3">
      <c r="A32" s="3" t="str" vm="251">
        <f>CUBEMEMBER("\\tesla\Home\mpremor\Dokumenti\My Data Sources\hvar HUOBI RH Statistika","[Podvrste osiguranja].[hPodvrsteOsiguranja].[Vrsta osiguranja].&amp;[25]")</f>
        <v>25 OSIGURANJE S KAPITALIZACIJOM</v>
      </c>
      <c r="B32" vm="399">
        <f t="shared" si="0"/>
        <v>0</v>
      </c>
      <c r="C32" vm="311">
        <f t="shared" si="0"/>
        <v>0</v>
      </c>
      <c r="D32" vm="327">
        <f t="shared" si="0"/>
        <v>0</v>
      </c>
      <c r="E32" vm="382">
        <f t="shared" si="0"/>
        <v>0</v>
      </c>
    </row>
    <row r="33" spans="1:5" x14ac:dyDescent="0.3">
      <c r="A33" s="5" t="str" vm="269">
        <f>CUBEMEMBER("\\tesla\Home\mpremor\Dokumenti\My Data Sources\hvar HUOBI RH Statistika","[Podvrste osiguranja].[hPodvrsteOsiguranja].[Rizik].&amp;[122]")</f>
        <v>25.01 OSIGURANJE S KAPITALIZACIJOM ISPLATE</v>
      </c>
      <c r="B33" vm="400">
        <f t="shared" si="0"/>
        <v>0</v>
      </c>
      <c r="C33" vm="312">
        <f t="shared" si="0"/>
        <v>0</v>
      </c>
      <c r="D33" vm="369">
        <f t="shared" si="0"/>
        <v>0</v>
      </c>
      <c r="E33" vm="343">
        <f t="shared" si="0"/>
        <v>0</v>
      </c>
    </row>
    <row r="34" spans="1:5" x14ac:dyDescent="0.3">
      <c r="A34" s="2" t="str" vm="264">
        <f>CUBEMEMBER("\\tesla\Home\mpremor\Dokumenti\My Data Sources\hvar HUOBI RH Statistika","[Podvrste osiguranja].[hPodvrsteOsiguranja].[Sve]","Grand Total")</f>
        <v>Grand Total</v>
      </c>
      <c r="B34" vm="355">
        <f t="shared" si="0"/>
        <v>23296</v>
      </c>
      <c r="C34" vm="313">
        <f t="shared" si="0"/>
        <v>105919</v>
      </c>
      <c r="D34" vm="328">
        <f t="shared" si="0"/>
        <v>281045849.30999988</v>
      </c>
      <c r="E34" vm="383">
        <f t="shared" si="0"/>
        <v>66362344.74000001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B43"/>
  <sheetViews>
    <sheetView workbookViewId="0">
      <selection activeCell="C37" sqref="C37"/>
    </sheetView>
  </sheetViews>
  <sheetFormatPr defaultRowHeight="14.4" x14ac:dyDescent="0.3"/>
  <cols>
    <col min="1" max="1" width="11.5" bestFit="1" customWidth="1"/>
    <col min="2" max="2" width="48.8984375" bestFit="1" customWidth="1"/>
    <col min="3" max="3" width="67.296875" customWidth="1"/>
    <col min="4" max="4" width="16.69921875" customWidth="1"/>
    <col min="5" max="5" width="13.3984375" customWidth="1"/>
    <col min="6" max="6" width="12" bestFit="1" customWidth="1"/>
    <col min="7" max="7" width="10.3984375" bestFit="1" customWidth="1"/>
    <col min="8" max="8" width="11.69921875" customWidth="1"/>
    <col min="9" max="9" width="53.69921875" customWidth="1"/>
    <col min="10" max="10" width="14.59765625" customWidth="1"/>
    <col min="11" max="12" width="10.3984375" customWidth="1"/>
    <col min="13" max="13" width="17" customWidth="1"/>
    <col min="14" max="14" width="14.69921875" customWidth="1"/>
    <col min="15" max="15" width="35.296875" customWidth="1"/>
    <col min="16" max="16" width="20.296875" bestFit="1" customWidth="1"/>
    <col min="17" max="17" width="7.296875" customWidth="1"/>
    <col min="18" max="18" width="29.69921875" customWidth="1"/>
    <col min="19" max="19" width="30.3984375" customWidth="1"/>
    <col min="20" max="20" width="32.69921875" customWidth="1"/>
    <col min="21" max="21" width="17" customWidth="1"/>
    <col min="22" max="22" width="20.296875" customWidth="1"/>
    <col min="23" max="23" width="22.3984375" customWidth="1"/>
    <col min="24" max="24" width="15" customWidth="1"/>
  </cols>
  <sheetData>
    <row r="2" spans="1:2" x14ac:dyDescent="0.3">
      <c r="A2" s="1" t="s">
        <v>16</v>
      </c>
      <c r="B2" s="1" t="s">
        <v>14</v>
      </c>
    </row>
    <row r="3" spans="1:2" x14ac:dyDescent="0.3">
      <c r="A3" s="1">
        <v>4</v>
      </c>
      <c r="B3" s="1" t="s">
        <v>26</v>
      </c>
    </row>
    <row r="4" spans="1:2" x14ac:dyDescent="0.3">
      <c r="A4" s="1">
        <v>5</v>
      </c>
      <c r="B4" s="1" t="s">
        <v>0</v>
      </c>
    </row>
    <row r="5" spans="1:2" x14ac:dyDescent="0.3">
      <c r="A5" s="1">
        <v>6</v>
      </c>
      <c r="B5" s="1" t="s">
        <v>1</v>
      </c>
    </row>
    <row r="6" spans="1:2" x14ac:dyDescent="0.3">
      <c r="A6" s="1">
        <v>7</v>
      </c>
      <c r="B6" s="1" t="s">
        <v>27</v>
      </c>
    </row>
    <row r="7" spans="1:2" x14ac:dyDescent="0.3">
      <c r="A7" s="1">
        <v>8</v>
      </c>
      <c r="B7" s="1" t="s">
        <v>2</v>
      </c>
    </row>
    <row r="8" spans="1:2" x14ac:dyDescent="0.3">
      <c r="A8" s="1">
        <v>9</v>
      </c>
      <c r="B8" s="1" t="s">
        <v>28</v>
      </c>
    </row>
    <row r="9" spans="1:2" x14ac:dyDescent="0.3">
      <c r="A9" s="1">
        <v>10</v>
      </c>
      <c r="B9" s="1" t="s">
        <v>3</v>
      </c>
    </row>
    <row r="10" spans="1:2" x14ac:dyDescent="0.3">
      <c r="A10" s="1">
        <v>11</v>
      </c>
      <c r="B10" s="1" t="s">
        <v>29</v>
      </c>
    </row>
    <row r="11" spans="1:2" x14ac:dyDescent="0.3">
      <c r="A11" s="1">
        <v>12</v>
      </c>
      <c r="B11" s="1" t="s">
        <v>4</v>
      </c>
    </row>
    <row r="12" spans="1:2" x14ac:dyDescent="0.3">
      <c r="A12" s="1">
        <v>13</v>
      </c>
      <c r="B12" s="1" t="s">
        <v>15</v>
      </c>
    </row>
    <row r="13" spans="1:2" x14ac:dyDescent="0.3">
      <c r="A13" s="1">
        <v>14</v>
      </c>
      <c r="B13" s="1" t="s">
        <v>109</v>
      </c>
    </row>
    <row r="14" spans="1:2" x14ac:dyDescent="0.3">
      <c r="A14" s="1">
        <v>15</v>
      </c>
      <c r="B14" s="1" t="s">
        <v>115</v>
      </c>
    </row>
    <row r="15" spans="1:2" x14ac:dyDescent="0.3">
      <c r="A15" s="1">
        <v>16</v>
      </c>
      <c r="B15" s="1" t="s">
        <v>5</v>
      </c>
    </row>
    <row r="16" spans="1:2" x14ac:dyDescent="0.3">
      <c r="A16" s="1">
        <v>17</v>
      </c>
      <c r="B16" s="1" t="s">
        <v>30</v>
      </c>
    </row>
    <row r="17" spans="1:2" x14ac:dyDescent="0.3">
      <c r="A17" s="1">
        <v>18</v>
      </c>
      <c r="B17" s="1" t="s">
        <v>6</v>
      </c>
    </row>
    <row r="18" spans="1:2" x14ac:dyDescent="0.3">
      <c r="A18" s="1">
        <v>19</v>
      </c>
      <c r="B18" s="1" t="s">
        <v>31</v>
      </c>
    </row>
    <row r="19" spans="1:2" x14ac:dyDescent="0.3">
      <c r="A19" s="1">
        <v>20</v>
      </c>
      <c r="B19" s="1" t="s">
        <v>7</v>
      </c>
    </row>
    <row r="20" spans="1:2" x14ac:dyDescent="0.3">
      <c r="A20" s="1">
        <v>21</v>
      </c>
      <c r="B20" s="1" t="s">
        <v>110</v>
      </c>
    </row>
    <row r="21" spans="1:2" x14ac:dyDescent="0.3">
      <c r="A21" s="1">
        <v>22</v>
      </c>
      <c r="B21" s="1" t="s">
        <v>32</v>
      </c>
    </row>
    <row r="22" spans="1:2" x14ac:dyDescent="0.3">
      <c r="A22" s="1">
        <v>23</v>
      </c>
      <c r="B22" s="1" t="s">
        <v>116</v>
      </c>
    </row>
    <row r="23" spans="1:2" x14ac:dyDescent="0.3">
      <c r="A23" s="1">
        <v>24</v>
      </c>
      <c r="B23" s="1" t="s">
        <v>21</v>
      </c>
    </row>
    <row r="24" spans="1:2" x14ac:dyDescent="0.3">
      <c r="A24" s="1">
        <v>25</v>
      </c>
      <c r="B24" s="1" t="s">
        <v>8</v>
      </c>
    </row>
    <row r="25" spans="1:2" x14ac:dyDescent="0.3">
      <c r="A25" s="1">
        <v>26</v>
      </c>
      <c r="B25" s="1" t="s">
        <v>33</v>
      </c>
    </row>
    <row r="26" spans="1:2" x14ac:dyDescent="0.3">
      <c r="A26" s="1">
        <v>27</v>
      </c>
      <c r="B26" s="1" t="s">
        <v>18</v>
      </c>
    </row>
    <row r="27" spans="1:2" x14ac:dyDescent="0.3">
      <c r="A27" s="1">
        <v>28</v>
      </c>
      <c r="B27" s="1" t="s">
        <v>19</v>
      </c>
    </row>
    <row r="28" spans="1:2" x14ac:dyDescent="0.3">
      <c r="A28" s="1">
        <v>29</v>
      </c>
      <c r="B28" s="1" t="s">
        <v>9</v>
      </c>
    </row>
    <row r="29" spans="1:2" x14ac:dyDescent="0.3">
      <c r="A29" s="1">
        <v>30</v>
      </c>
      <c r="B29" s="1" t="s">
        <v>10</v>
      </c>
    </row>
    <row r="30" spans="1:2" x14ac:dyDescent="0.3">
      <c r="A30" s="1">
        <v>31</v>
      </c>
      <c r="B30" s="1" t="s">
        <v>111</v>
      </c>
    </row>
    <row r="31" spans="1:2" x14ac:dyDescent="0.3">
      <c r="A31" s="1">
        <v>32</v>
      </c>
      <c r="B31" s="1" t="s">
        <v>11</v>
      </c>
    </row>
    <row r="32" spans="1:2" x14ac:dyDescent="0.3">
      <c r="A32" s="1">
        <v>33</v>
      </c>
      <c r="B32" s="1" t="s">
        <v>20</v>
      </c>
    </row>
    <row r="33" spans="1:2" x14ac:dyDescent="0.3">
      <c r="A33" s="1">
        <v>34</v>
      </c>
      <c r="B33" s="1" t="s">
        <v>12</v>
      </c>
    </row>
    <row r="34" spans="1:2" x14ac:dyDescent="0.3">
      <c r="A34" s="1">
        <v>35</v>
      </c>
      <c r="B34" s="1" t="s">
        <v>25</v>
      </c>
    </row>
    <row r="35" spans="1:2" x14ac:dyDescent="0.3">
      <c r="A35" s="1">
        <v>36</v>
      </c>
      <c r="B35" s="1" t="s">
        <v>23</v>
      </c>
    </row>
    <row r="36" spans="1:2" x14ac:dyDescent="0.3">
      <c r="A36" s="1">
        <v>37</v>
      </c>
      <c r="B36" s="1" t="s">
        <v>105</v>
      </c>
    </row>
    <row r="37" spans="1:2" x14ac:dyDescent="0.3">
      <c r="A37" s="1">
        <v>38</v>
      </c>
      <c r="B37" s="1" t="s">
        <v>113</v>
      </c>
    </row>
    <row r="38" spans="1:2" x14ac:dyDescent="0.3">
      <c r="A38" s="1">
        <v>39</v>
      </c>
      <c r="B38" s="1" t="s">
        <v>24</v>
      </c>
    </row>
    <row r="39" spans="1:2" x14ac:dyDescent="0.3">
      <c r="A39" s="1">
        <v>40</v>
      </c>
      <c r="B39" s="1" t="s">
        <v>22</v>
      </c>
    </row>
    <row r="40" spans="1:2" x14ac:dyDescent="0.3">
      <c r="A40" s="1">
        <v>41</v>
      </c>
      <c r="B40" s="1" t="s">
        <v>13</v>
      </c>
    </row>
    <row r="41" spans="1:2" x14ac:dyDescent="0.3">
      <c r="A41" s="1">
        <v>42</v>
      </c>
      <c r="B41" s="1" t="s">
        <v>114</v>
      </c>
    </row>
    <row r="42" spans="1:2" x14ac:dyDescent="0.3">
      <c r="A42" s="1">
        <v>43</v>
      </c>
      <c r="B42" s="1" t="s">
        <v>112</v>
      </c>
    </row>
    <row r="43" spans="1:2" x14ac:dyDescent="0.3">
      <c r="A43">
        <v>197</v>
      </c>
      <c r="B43" t="s">
        <v>106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Z38"/>
  <sheetViews>
    <sheetView showGridLines="0" zoomScale="86" zoomScaleNormal="86" workbookViewId="0">
      <selection activeCell="B3" sqref="B3"/>
    </sheetView>
  </sheetViews>
  <sheetFormatPr defaultColWidth="9.296875" defaultRowHeight="14.4" x14ac:dyDescent="0.3"/>
  <cols>
    <col min="1" max="1" width="9.296875" style="8" customWidth="1"/>
    <col min="2" max="2" width="21.69921875" style="8" customWidth="1"/>
    <col min="3" max="4" width="14.69921875" style="60" customWidth="1"/>
    <col min="5" max="5" width="8.69921875" style="61" customWidth="1"/>
    <col min="6" max="7" width="8.69921875" style="60" customWidth="1"/>
    <col min="8" max="9" width="14.69921875" style="60" customWidth="1"/>
    <col min="10" max="12" width="8.69921875" style="60" customWidth="1"/>
    <col min="13" max="14" width="14.69921875" style="61" customWidth="1"/>
    <col min="15" max="15" width="8.69921875" style="61" customWidth="1"/>
    <col min="16" max="17" width="8.69921875" style="60" customWidth="1"/>
    <col min="18" max="18" width="13.69921875" style="61" customWidth="1"/>
    <col min="19" max="20" width="8.296875" style="8" bestFit="1" customWidth="1"/>
    <col min="21" max="22" width="16.69921875" style="60" customWidth="1"/>
    <col min="23" max="23" width="12.59765625" style="61" customWidth="1"/>
    <col min="24" max="25" width="8.296875" style="8" bestFit="1" customWidth="1"/>
    <col min="26" max="26" width="5.69921875" style="8" customWidth="1"/>
    <col min="27" max="16384" width="9.296875" style="8"/>
  </cols>
  <sheetData>
    <row r="1" spans="1:26" s="18" customFormat="1" ht="51.8" customHeight="1" x14ac:dyDescent="0.3">
      <c r="A1" s="346" t="s">
        <v>141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26" s="18" customFormat="1" ht="20.25" customHeight="1" x14ac:dyDescent="0.3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26" ht="14.95" customHeight="1" x14ac:dyDescent="0.35">
      <c r="F3" s="61"/>
      <c r="G3" s="61"/>
      <c r="J3" s="61"/>
      <c r="K3" s="8"/>
      <c r="L3" s="8"/>
      <c r="M3" s="60"/>
      <c r="N3" s="60"/>
      <c r="P3" s="8"/>
      <c r="Q3" s="8"/>
      <c r="R3" s="8"/>
      <c r="U3" s="8"/>
      <c r="V3" s="8"/>
      <c r="W3" s="8"/>
    </row>
    <row r="4" spans="1:26" ht="14.95" thickBot="1" x14ac:dyDescent="0.4">
      <c r="F4" s="61"/>
      <c r="G4" s="61"/>
      <c r="J4" s="61"/>
      <c r="K4" s="8"/>
      <c r="L4" s="8"/>
      <c r="M4" s="60"/>
      <c r="N4" s="60"/>
      <c r="P4" s="8"/>
      <c r="Q4" s="8"/>
      <c r="R4" s="8"/>
      <c r="U4" s="8"/>
      <c r="V4" s="8"/>
      <c r="W4" s="8"/>
    </row>
    <row r="5" spans="1:26" x14ac:dyDescent="0.3">
      <c r="B5" s="357" t="s">
        <v>39</v>
      </c>
      <c r="C5" s="353" t="s">
        <v>34</v>
      </c>
      <c r="D5" s="353"/>
      <c r="E5" s="353"/>
      <c r="F5" s="353"/>
      <c r="G5" s="353"/>
      <c r="H5" s="353" t="s">
        <v>35</v>
      </c>
      <c r="I5" s="353"/>
      <c r="J5" s="353"/>
      <c r="K5" s="353"/>
      <c r="L5" s="353"/>
      <c r="M5" s="353" t="s">
        <v>36</v>
      </c>
      <c r="N5" s="353"/>
      <c r="O5" s="353"/>
      <c r="P5" s="353"/>
      <c r="Q5" s="354"/>
      <c r="R5" s="8"/>
      <c r="U5" s="8"/>
      <c r="V5" s="8"/>
      <c r="W5" s="8"/>
    </row>
    <row r="6" spans="1:26" ht="14.95" customHeight="1" x14ac:dyDescent="0.3">
      <c r="B6" s="358"/>
      <c r="C6" s="351" t="s">
        <v>37</v>
      </c>
      <c r="D6" s="352"/>
      <c r="E6" s="349" t="s">
        <v>142</v>
      </c>
      <c r="F6" s="348" t="s">
        <v>38</v>
      </c>
      <c r="G6" s="348"/>
      <c r="H6" s="351" t="s">
        <v>37</v>
      </c>
      <c r="I6" s="352"/>
      <c r="J6" s="349" t="s">
        <v>142</v>
      </c>
      <c r="K6" s="355" t="s">
        <v>38</v>
      </c>
      <c r="L6" s="355"/>
      <c r="M6" s="351" t="s">
        <v>37</v>
      </c>
      <c r="N6" s="352"/>
      <c r="O6" s="349" t="s">
        <v>142</v>
      </c>
      <c r="P6" s="355" t="s">
        <v>38</v>
      </c>
      <c r="Q6" s="356"/>
      <c r="R6" s="8"/>
      <c r="U6" s="8"/>
      <c r="V6" s="8"/>
      <c r="W6" s="8"/>
    </row>
    <row r="7" spans="1:26" ht="14.95" thickBot="1" x14ac:dyDescent="0.35">
      <c r="B7" s="359"/>
      <c r="C7" s="19" t="s">
        <v>143</v>
      </c>
      <c r="D7" s="19" t="s">
        <v>144</v>
      </c>
      <c r="E7" s="350"/>
      <c r="F7" s="98">
        <v>2014</v>
      </c>
      <c r="G7" s="98">
        <v>2015</v>
      </c>
      <c r="H7" s="19" t="s">
        <v>143</v>
      </c>
      <c r="I7" s="19" t="s">
        <v>144</v>
      </c>
      <c r="J7" s="350"/>
      <c r="K7" s="91">
        <v>2014</v>
      </c>
      <c r="L7" s="91">
        <v>2015</v>
      </c>
      <c r="M7" s="19" t="s">
        <v>143</v>
      </c>
      <c r="N7" s="19" t="s">
        <v>144</v>
      </c>
      <c r="O7" s="350"/>
      <c r="P7" s="91">
        <v>2014</v>
      </c>
      <c r="Q7" s="48">
        <v>2015</v>
      </c>
      <c r="R7" s="8"/>
      <c r="U7" s="8"/>
      <c r="V7" s="8"/>
      <c r="W7" s="8"/>
    </row>
    <row r="8" spans="1:26" ht="2.35" customHeight="1" thickBot="1" x14ac:dyDescent="0.35">
      <c r="B8" s="51"/>
      <c r="C8" s="89"/>
      <c r="D8" s="89"/>
      <c r="E8" s="88"/>
      <c r="F8" s="46"/>
      <c r="G8" s="46"/>
      <c r="H8" s="89"/>
      <c r="I8" s="89"/>
      <c r="J8" s="88"/>
      <c r="K8" s="90"/>
      <c r="L8" s="90"/>
      <c r="M8" s="89"/>
      <c r="N8" s="89"/>
      <c r="O8" s="88"/>
      <c r="P8" s="90"/>
      <c r="Q8" s="90"/>
      <c r="R8" s="8"/>
      <c r="U8" s="8"/>
      <c r="V8" s="8"/>
      <c r="W8" s="8"/>
    </row>
    <row r="9" spans="1:26" s="61" customFormat="1" ht="23.55" customHeight="1" x14ac:dyDescent="0.3">
      <c r="A9" s="8"/>
      <c r="B9" s="95" t="s" vm="11">
        <v>116</v>
      </c>
      <c r="C9" s="115" vm="1255">
        <v>0</v>
      </c>
      <c r="D9" s="119" vm="630">
        <v>0</v>
      </c>
      <c r="E9" s="325" t="s">
        <v>145</v>
      </c>
      <c r="F9" s="120">
        <v>0</v>
      </c>
      <c r="G9" s="121">
        <v>0</v>
      </c>
      <c r="H9" s="115" vm="732">
        <v>28551682</v>
      </c>
      <c r="I9" s="119" vm="497">
        <v>31035678.000000004</v>
      </c>
      <c r="J9" s="325">
        <v>8.6999988301915181</v>
      </c>
      <c r="K9" s="120">
        <v>6.61</v>
      </c>
      <c r="L9" s="121">
        <v>6.34</v>
      </c>
      <c r="M9" s="115" vm="1225">
        <v>28551682</v>
      </c>
      <c r="N9" s="119" vm="463">
        <v>31035678.000000004</v>
      </c>
      <c r="O9" s="325">
        <v>8.6999988301915181</v>
      </c>
      <c r="P9" s="120">
        <v>1.76</v>
      </c>
      <c r="Q9" s="120">
        <v>1.87</v>
      </c>
      <c r="S9" s="8"/>
      <c r="T9" s="8"/>
      <c r="U9" s="60"/>
      <c r="V9" s="60"/>
      <c r="X9" s="8"/>
      <c r="Y9" s="8"/>
      <c r="Z9" s="8"/>
    </row>
    <row r="10" spans="1:26" ht="23.55" customHeight="1" x14ac:dyDescent="0.3">
      <c r="B10" s="96" t="s" vm="6">
        <v>2</v>
      </c>
      <c r="C10" s="116" vm="1003">
        <v>153519093.06999999</v>
      </c>
      <c r="D10" s="117" vm="471">
        <v>159981036.45999995</v>
      </c>
      <c r="E10" s="326">
        <v>4.2092115454678236</v>
      </c>
      <c r="F10" s="122">
        <v>12.92</v>
      </c>
      <c r="G10" s="123">
        <v>13.64</v>
      </c>
      <c r="H10" s="116" vm="1196">
        <v>113141266.75999999</v>
      </c>
      <c r="I10" s="117" vm="513">
        <v>110469338.52</v>
      </c>
      <c r="J10" s="326">
        <v>-2.361585932803635</v>
      </c>
      <c r="K10" s="122">
        <v>26.2</v>
      </c>
      <c r="L10" s="123">
        <v>22.59</v>
      </c>
      <c r="M10" s="116" vm="1065">
        <v>266660359.82999998</v>
      </c>
      <c r="N10" s="117" vm="508">
        <v>270450374.97999996</v>
      </c>
      <c r="O10" s="326">
        <v>1.4212892956479095</v>
      </c>
      <c r="P10" s="122">
        <v>16.45</v>
      </c>
      <c r="Q10" s="122">
        <v>16.27</v>
      </c>
    </row>
    <row r="11" spans="1:26" ht="23.55" customHeight="1" x14ac:dyDescent="0.3">
      <c r="B11" s="96" t="s" vm="5">
        <v>20</v>
      </c>
      <c r="C11" s="116" vm="1083">
        <v>5853177.3200000003</v>
      </c>
      <c r="D11" s="117" vm="453">
        <v>8943621.3900000006</v>
      </c>
      <c r="E11" s="326">
        <v>52.799426722305412</v>
      </c>
      <c r="F11" s="122">
        <v>0.49</v>
      </c>
      <c r="G11" s="123">
        <v>0.76</v>
      </c>
      <c r="H11" s="116" vm="1056">
        <v>0</v>
      </c>
      <c r="I11" s="117" vm="437">
        <v>0</v>
      </c>
      <c r="J11" s="326" t="s">
        <v>145</v>
      </c>
      <c r="K11" s="122">
        <v>0</v>
      </c>
      <c r="L11" s="123">
        <v>0</v>
      </c>
      <c r="M11" s="116" vm="1298">
        <v>5853177.3200000003</v>
      </c>
      <c r="N11" s="117" vm="505">
        <v>8943621.3900000006</v>
      </c>
      <c r="O11" s="326">
        <v>52.799426722305412</v>
      </c>
      <c r="P11" s="122">
        <v>0.36</v>
      </c>
      <c r="Q11" s="122">
        <v>0.54</v>
      </c>
    </row>
    <row r="12" spans="1:26" ht="23.55" customHeight="1" x14ac:dyDescent="0.3">
      <c r="B12" s="96" t="s" vm="15">
        <v>0</v>
      </c>
      <c r="C12" s="116" vm="1140">
        <v>477783106.42000002</v>
      </c>
      <c r="D12" s="117" vm="414">
        <v>467963716.03000015</v>
      </c>
      <c r="E12" s="326">
        <v>-2.0551983228490371</v>
      </c>
      <c r="F12" s="122">
        <v>40.200000000000003</v>
      </c>
      <c r="G12" s="123">
        <v>39.9</v>
      </c>
      <c r="H12" s="116" vm="958">
        <v>65008460.81000001</v>
      </c>
      <c r="I12" s="117" vm="446">
        <v>123698729.16</v>
      </c>
      <c r="J12" s="326">
        <v>90.280968998072154</v>
      </c>
      <c r="K12" s="122">
        <v>15.05</v>
      </c>
      <c r="L12" s="123">
        <v>25.29</v>
      </c>
      <c r="M12" s="116" vm="1115">
        <v>542791567.23000002</v>
      </c>
      <c r="N12" s="117" vm="650">
        <v>591662445.19000018</v>
      </c>
      <c r="O12" s="326">
        <v>9.0036177624129863</v>
      </c>
      <c r="P12" s="122">
        <v>33.49</v>
      </c>
      <c r="Q12" s="122">
        <v>35.6</v>
      </c>
    </row>
    <row r="13" spans="1:26" ht="23.55" customHeight="1" x14ac:dyDescent="0.3">
      <c r="B13" s="96" t="s" vm="20">
        <v>111</v>
      </c>
      <c r="C13" s="116" vm="1139">
        <v>23821784.210000001</v>
      </c>
      <c r="D13" s="117" vm="476">
        <v>38587374.959999993</v>
      </c>
      <c r="E13" s="326">
        <v>61.983563530903098</v>
      </c>
      <c r="F13" s="122">
        <v>2</v>
      </c>
      <c r="G13" s="123">
        <v>3.29</v>
      </c>
      <c r="H13" s="116">
        <v>0</v>
      </c>
      <c r="I13" s="117">
        <v>0</v>
      </c>
      <c r="J13" s="326" t="s">
        <v>145</v>
      </c>
      <c r="K13" s="122">
        <v>0</v>
      </c>
      <c r="L13" s="123">
        <v>0</v>
      </c>
      <c r="M13" s="116" vm="984">
        <v>23821784.210000001</v>
      </c>
      <c r="N13" s="117" vm="431">
        <v>38587374.959999993</v>
      </c>
      <c r="O13" s="326">
        <v>61.983563530903098</v>
      </c>
      <c r="P13" s="122">
        <v>1.47</v>
      </c>
      <c r="Q13" s="122">
        <v>2.3199999999999998</v>
      </c>
    </row>
    <row r="14" spans="1:26" ht="23.55" customHeight="1" x14ac:dyDescent="0.3">
      <c r="B14" s="96" t="s" vm="12">
        <v>113</v>
      </c>
      <c r="C14" s="116" vm="885">
        <v>1119914.6300000001</v>
      </c>
      <c r="D14" s="117" vm="500">
        <v>4422318.25</v>
      </c>
      <c r="E14" s="326">
        <v>294.87994276849474</v>
      </c>
      <c r="F14" s="122">
        <v>0.09</v>
      </c>
      <c r="G14" s="123">
        <v>0.38</v>
      </c>
      <c r="H14" s="116">
        <v>0</v>
      </c>
      <c r="I14" s="117">
        <v>0</v>
      </c>
      <c r="J14" s="326" t="s">
        <v>145</v>
      </c>
      <c r="K14" s="122">
        <v>0</v>
      </c>
      <c r="L14" s="123">
        <v>0</v>
      </c>
      <c r="M14" s="116" vm="792">
        <v>1119914.6300000001</v>
      </c>
      <c r="N14" s="117" vm="420">
        <v>4422318.25</v>
      </c>
      <c r="O14" s="326">
        <v>294.87994276849474</v>
      </c>
      <c r="P14" s="122">
        <v>7.0000000000000007E-2</v>
      </c>
      <c r="Q14" s="122">
        <v>0.27</v>
      </c>
    </row>
    <row r="15" spans="1:26" ht="23.55" customHeight="1" x14ac:dyDescent="0.3">
      <c r="B15" s="96" t="s" vm="7">
        <v>105</v>
      </c>
      <c r="C15" s="116">
        <v>0</v>
      </c>
      <c r="D15" s="117">
        <v>0</v>
      </c>
      <c r="E15" s="326" t="s">
        <v>145</v>
      </c>
      <c r="F15" s="122">
        <v>0</v>
      </c>
      <c r="G15" s="123">
        <v>0</v>
      </c>
      <c r="H15" s="116" vm="1078">
        <v>293536.28000000003</v>
      </c>
      <c r="I15" s="117" vm="546">
        <v>168368.94</v>
      </c>
      <c r="J15" s="326">
        <v>-42.641182207528146</v>
      </c>
      <c r="K15" s="122">
        <v>7.0000000000000007E-2</v>
      </c>
      <c r="L15" s="123">
        <v>0.03</v>
      </c>
      <c r="M15" s="116" vm="1184">
        <v>293536.28000000003</v>
      </c>
      <c r="N15" s="117" vm="426">
        <v>168368.94</v>
      </c>
      <c r="O15" s="326">
        <v>-42.641182207528146</v>
      </c>
      <c r="P15" s="122">
        <v>0.02</v>
      </c>
      <c r="Q15" s="122">
        <v>0.01</v>
      </c>
    </row>
    <row r="16" spans="1:26" ht="23.55" customHeight="1" x14ac:dyDescent="0.3">
      <c r="B16" s="96" t="s" vm="4">
        <v>11</v>
      </c>
      <c r="C16" s="116">
        <v>0</v>
      </c>
      <c r="D16" s="117">
        <v>0</v>
      </c>
      <c r="E16" s="326" t="s">
        <v>145</v>
      </c>
      <c r="F16" s="122">
        <v>0</v>
      </c>
      <c r="G16" s="123">
        <v>0</v>
      </c>
      <c r="H16" s="116" vm="784">
        <v>20965682.799999997</v>
      </c>
      <c r="I16" s="117" vm="491">
        <v>18045582.159999996</v>
      </c>
      <c r="J16" s="326">
        <v>-13.928001619866166</v>
      </c>
      <c r="K16" s="122">
        <v>4.8499999999999996</v>
      </c>
      <c r="L16" s="123">
        <v>3.69</v>
      </c>
      <c r="M16" s="116" vm="763">
        <v>20965682.799999997</v>
      </c>
      <c r="N16" s="117" vm="418">
        <v>18045582.159999996</v>
      </c>
      <c r="O16" s="326">
        <v>-13.928001619866166</v>
      </c>
      <c r="P16" s="122">
        <v>1.29</v>
      </c>
      <c r="Q16" s="122">
        <v>1.0900000000000001</v>
      </c>
    </row>
    <row r="17" spans="1:17" ht="23.55" customHeight="1" x14ac:dyDescent="0.3">
      <c r="B17" s="96" t="s" vm="18">
        <v>4</v>
      </c>
      <c r="C17" s="116" vm="1059">
        <v>131671393.01000006</v>
      </c>
      <c r="D17" s="117" vm="435">
        <v>118556922.24000002</v>
      </c>
      <c r="E17" s="326">
        <v>-9.9600000199010879</v>
      </c>
      <c r="F17" s="122">
        <v>11.08</v>
      </c>
      <c r="G17" s="123">
        <v>10.11</v>
      </c>
      <c r="H17" s="116" vm="777">
        <v>0</v>
      </c>
      <c r="I17" s="117" vm="628">
        <v>0</v>
      </c>
      <c r="J17" s="326" t="s">
        <v>145</v>
      </c>
      <c r="K17" s="122">
        <v>0</v>
      </c>
      <c r="L17" s="123">
        <v>0</v>
      </c>
      <c r="M17" s="116" vm="1031">
        <v>131671393.01000006</v>
      </c>
      <c r="N17" s="117" vm="566">
        <v>118556922.24000002</v>
      </c>
      <c r="O17" s="326">
        <v>-9.9600000199010879</v>
      </c>
      <c r="P17" s="122">
        <v>8.1300000000000008</v>
      </c>
      <c r="Q17" s="122">
        <v>7.13</v>
      </c>
    </row>
    <row r="18" spans="1:17" ht="23.55" customHeight="1" x14ac:dyDescent="0.3">
      <c r="B18" s="96" t="s" vm="22">
        <v>10</v>
      </c>
      <c r="C18" s="116" vm="1276">
        <v>46080250.479999989</v>
      </c>
      <c r="D18" s="117" vm="536">
        <v>50822778.200000003</v>
      </c>
      <c r="E18" s="326">
        <v>10.29188789253304</v>
      </c>
      <c r="F18" s="122">
        <v>3.88</v>
      </c>
      <c r="G18" s="123">
        <v>4.33</v>
      </c>
      <c r="H18" s="116" vm="837">
        <v>18832375.810000002</v>
      </c>
      <c r="I18" s="117" vm="574">
        <v>18224785.52</v>
      </c>
      <c r="J18" s="326">
        <v>-3.2263071644809287</v>
      </c>
      <c r="K18" s="122">
        <v>4.3600000000000003</v>
      </c>
      <c r="L18" s="123">
        <v>3.73</v>
      </c>
      <c r="M18" s="116" vm="937">
        <v>64912626.289999992</v>
      </c>
      <c r="N18" s="117" vm="461">
        <v>69047563.719999999</v>
      </c>
      <c r="O18" s="326">
        <v>6.3700048300726451</v>
      </c>
      <c r="P18" s="122">
        <v>4.01</v>
      </c>
      <c r="Q18" s="122">
        <v>4.1500000000000004</v>
      </c>
    </row>
    <row r="19" spans="1:17" ht="23.55" customHeight="1" x14ac:dyDescent="0.3">
      <c r="B19" s="96" t="s" vm="10">
        <v>5</v>
      </c>
      <c r="C19" s="116" vm="1204">
        <v>24071405.160000004</v>
      </c>
      <c r="D19" s="117" vm="473">
        <v>24198920.619999997</v>
      </c>
      <c r="E19" s="326">
        <v>0.52973833123746772</v>
      </c>
      <c r="F19" s="122">
        <v>2.0299999999999998</v>
      </c>
      <c r="G19" s="123">
        <v>2.06</v>
      </c>
      <c r="H19" s="116" vm="1499">
        <v>38228571.859999999</v>
      </c>
      <c r="I19" s="117" vm="621">
        <v>38675425.450000003</v>
      </c>
      <c r="J19" s="326">
        <v>1.1688995122194541</v>
      </c>
      <c r="K19" s="122">
        <v>8.85</v>
      </c>
      <c r="L19" s="123">
        <v>7.91</v>
      </c>
      <c r="M19" s="116" vm="917">
        <v>62299977.020000003</v>
      </c>
      <c r="N19" s="117" vm="483">
        <v>62874346.07</v>
      </c>
      <c r="O19" s="326">
        <v>0.92194103027615881</v>
      </c>
      <c r="P19" s="122">
        <v>3.84</v>
      </c>
      <c r="Q19" s="122">
        <v>3.78</v>
      </c>
    </row>
    <row r="20" spans="1:17" ht="23.55" customHeight="1" x14ac:dyDescent="0.3">
      <c r="B20" s="96" t="s" vm="24">
        <v>9</v>
      </c>
      <c r="C20" s="116" vm="1000">
        <v>32720092.970000003</v>
      </c>
      <c r="D20" s="117" vm="553">
        <v>28749741.999999996</v>
      </c>
      <c r="E20" s="326">
        <v>-12.13429000229398</v>
      </c>
      <c r="F20" s="122">
        <v>2.75</v>
      </c>
      <c r="G20" s="123">
        <v>2.4500000000000002</v>
      </c>
      <c r="H20" s="116">
        <v>0</v>
      </c>
      <c r="I20" s="117">
        <v>0</v>
      </c>
      <c r="J20" s="326" t="s">
        <v>145</v>
      </c>
      <c r="K20" s="122">
        <v>0</v>
      </c>
      <c r="L20" s="123">
        <v>0</v>
      </c>
      <c r="M20" s="116" vm="685">
        <v>32720092.970000003</v>
      </c>
      <c r="N20" s="117" vm="647">
        <v>28749741.999999996</v>
      </c>
      <c r="O20" s="326">
        <v>-12.13429000229398</v>
      </c>
      <c r="P20" s="122">
        <v>2.02</v>
      </c>
      <c r="Q20" s="122">
        <v>1.73</v>
      </c>
    </row>
    <row r="21" spans="1:17" ht="23.55" customHeight="1" x14ac:dyDescent="0.3">
      <c r="B21" s="96" t="s" vm="14">
        <v>22</v>
      </c>
      <c r="C21" s="116" vm="1044">
        <v>1356909.14</v>
      </c>
      <c r="D21" s="117" vm="552">
        <v>1715653.9100000001</v>
      </c>
      <c r="E21" s="326">
        <v>26.43837818057591</v>
      </c>
      <c r="F21" s="122">
        <v>0.11</v>
      </c>
      <c r="G21" s="123">
        <v>0.15</v>
      </c>
      <c r="H21" s="116">
        <v>0</v>
      </c>
      <c r="I21" s="117" vm="565">
        <v>0</v>
      </c>
      <c r="J21" s="326" t="s">
        <v>145</v>
      </c>
      <c r="K21" s="122">
        <v>0</v>
      </c>
      <c r="L21" s="123">
        <v>0</v>
      </c>
      <c r="M21" s="116" vm="1156">
        <v>1356909.14</v>
      </c>
      <c r="N21" s="117" vm="514">
        <v>1715653.9100000001</v>
      </c>
      <c r="O21" s="326">
        <v>26.43837818057591</v>
      </c>
      <c r="P21" s="122">
        <v>0.08</v>
      </c>
      <c r="Q21" s="122">
        <v>0.1</v>
      </c>
    </row>
    <row r="22" spans="1:17" ht="23.55" customHeight="1" x14ac:dyDescent="0.3">
      <c r="B22" s="96" t="s" vm="9">
        <v>13</v>
      </c>
      <c r="C22" s="116" vm="1046">
        <v>7570897.2999999998</v>
      </c>
      <c r="D22" s="117" vm="492">
        <v>8245029.870000001</v>
      </c>
      <c r="E22" s="326">
        <v>8.9042625106009723</v>
      </c>
      <c r="F22" s="122">
        <v>0.64</v>
      </c>
      <c r="G22" s="123">
        <v>0.7</v>
      </c>
      <c r="H22" s="116">
        <v>0</v>
      </c>
      <c r="I22" s="117">
        <v>0</v>
      </c>
      <c r="J22" s="326" t="s">
        <v>145</v>
      </c>
      <c r="K22" s="122">
        <v>0</v>
      </c>
      <c r="L22" s="123">
        <v>0</v>
      </c>
      <c r="M22" s="116" vm="805">
        <v>7570897.2999999998</v>
      </c>
      <c r="N22" s="117" vm="464">
        <v>8245029.870000001</v>
      </c>
      <c r="O22" s="326">
        <v>8.9042625106009723</v>
      </c>
      <c r="P22" s="122">
        <v>0.47</v>
      </c>
      <c r="Q22" s="122">
        <v>0.5</v>
      </c>
    </row>
    <row r="23" spans="1:17" ht="23.55" customHeight="1" x14ac:dyDescent="0.3">
      <c r="B23" s="96" t="s" vm="3">
        <v>3</v>
      </c>
      <c r="C23" s="116" vm="751">
        <v>89162231.050000012</v>
      </c>
      <c r="D23" s="117" vm="411">
        <v>71488959.609999999</v>
      </c>
      <c r="E23" s="326">
        <v>-19.82147735860184</v>
      </c>
      <c r="F23" s="122">
        <v>7.5</v>
      </c>
      <c r="G23" s="123">
        <v>6.1</v>
      </c>
      <c r="H23" s="116" vm="721">
        <v>0</v>
      </c>
      <c r="I23" s="117" vm="425">
        <v>0</v>
      </c>
      <c r="J23" s="326" t="s">
        <v>145</v>
      </c>
      <c r="K23" s="122">
        <v>0</v>
      </c>
      <c r="L23" s="123">
        <v>0</v>
      </c>
      <c r="M23" s="116" vm="1049">
        <v>89162231.050000012</v>
      </c>
      <c r="N23" s="117" vm="428">
        <v>71488959.609999999</v>
      </c>
      <c r="O23" s="326">
        <v>-19.82147735860184</v>
      </c>
      <c r="P23" s="122">
        <v>5.5</v>
      </c>
      <c r="Q23" s="122">
        <v>4.3</v>
      </c>
    </row>
    <row r="24" spans="1:17" ht="23.55" customHeight="1" x14ac:dyDescent="0.3">
      <c r="B24" s="96" t="s" vm="17">
        <v>23</v>
      </c>
      <c r="C24" s="116" vm="1143">
        <v>0</v>
      </c>
      <c r="D24" s="117" vm="537">
        <v>0</v>
      </c>
      <c r="E24" s="326" t="s">
        <v>145</v>
      </c>
      <c r="F24" s="122">
        <v>0</v>
      </c>
      <c r="G24" s="123">
        <v>0</v>
      </c>
      <c r="H24" s="116" vm="1103">
        <v>2385447.7199999997</v>
      </c>
      <c r="I24" s="117" vm="515">
        <v>2532933.8200000003</v>
      </c>
      <c r="J24" s="326">
        <v>6.1827429192202317</v>
      </c>
      <c r="K24" s="122">
        <v>0.55000000000000004</v>
      </c>
      <c r="L24" s="123">
        <v>0.52</v>
      </c>
      <c r="M24" s="116" vm="692">
        <v>2385447.7199999997</v>
      </c>
      <c r="N24" s="117" vm="501">
        <v>2532933.8200000003</v>
      </c>
      <c r="O24" s="326">
        <v>6.1827429192202317</v>
      </c>
      <c r="P24" s="122">
        <v>0.15</v>
      </c>
      <c r="Q24" s="122">
        <v>0.15</v>
      </c>
    </row>
    <row r="25" spans="1:17" ht="23.55" customHeight="1" x14ac:dyDescent="0.3">
      <c r="B25" s="96" t="s" vm="19">
        <v>6</v>
      </c>
      <c r="C25" s="116" vm="738">
        <v>5474021.8500000006</v>
      </c>
      <c r="D25" s="117" vm="591">
        <v>5661999.9399999995</v>
      </c>
      <c r="E25" s="326">
        <v>3.4340032822484829</v>
      </c>
      <c r="F25" s="122">
        <v>0.46</v>
      </c>
      <c r="G25" s="123">
        <v>0.48</v>
      </c>
      <c r="H25" s="116" vm="883">
        <v>35783725.129999995</v>
      </c>
      <c r="I25" s="117" vm="561">
        <v>37378004.270000003</v>
      </c>
      <c r="J25" s="326">
        <v>4.4553190988587517</v>
      </c>
      <c r="K25" s="122">
        <v>8.2899999999999991</v>
      </c>
      <c r="L25" s="123">
        <v>7.64</v>
      </c>
      <c r="M25" s="116" vm="1008">
        <v>41257746.979999997</v>
      </c>
      <c r="N25" s="117" vm="550">
        <v>43040004.210000001</v>
      </c>
      <c r="O25" s="326">
        <v>4.3198123030420561</v>
      </c>
      <c r="P25" s="122">
        <v>2.5499999999999998</v>
      </c>
      <c r="Q25" s="122">
        <v>2.59</v>
      </c>
    </row>
    <row r="26" spans="1:17" ht="23.55" customHeight="1" x14ac:dyDescent="0.3">
      <c r="B26" s="96" t="s" vm="2">
        <v>24</v>
      </c>
      <c r="C26" s="116" vm="824">
        <v>0</v>
      </c>
      <c r="D26" s="117" vm="627">
        <v>0</v>
      </c>
      <c r="E26" s="326" t="s">
        <v>145</v>
      </c>
      <c r="F26" s="122">
        <v>0</v>
      </c>
      <c r="G26" s="123">
        <v>0</v>
      </c>
      <c r="H26" s="116" vm="1174">
        <v>6303778.8099999996</v>
      </c>
      <c r="I26" s="117" vm="570">
        <v>5442701.4799999995</v>
      </c>
      <c r="J26" s="326">
        <v>-13.65970088661787</v>
      </c>
      <c r="K26" s="122">
        <v>1.46</v>
      </c>
      <c r="L26" s="123">
        <v>1.1100000000000001</v>
      </c>
      <c r="M26" s="116" vm="1189">
        <v>6303778.8099999996</v>
      </c>
      <c r="N26" s="117" vm="509">
        <v>5442701.4799999995</v>
      </c>
      <c r="O26" s="326">
        <v>-13.65970088661787</v>
      </c>
      <c r="P26" s="122">
        <v>0.39</v>
      </c>
      <c r="Q26" s="122">
        <v>0.33</v>
      </c>
    </row>
    <row r="27" spans="1:17" ht="23.55" customHeight="1" x14ac:dyDescent="0.3">
      <c r="B27" s="96" t="s" vm="23">
        <v>7</v>
      </c>
      <c r="C27" s="116" vm="735">
        <v>11507305</v>
      </c>
      <c r="D27" s="117" vm="408">
        <v>11198183</v>
      </c>
      <c r="E27" s="326">
        <v>-2.6863109998388097</v>
      </c>
      <c r="F27" s="122">
        <v>0.97</v>
      </c>
      <c r="G27" s="123">
        <v>0.96</v>
      </c>
      <c r="H27" s="116" vm="705">
        <v>0</v>
      </c>
      <c r="I27" s="117" vm="449">
        <v>0</v>
      </c>
      <c r="J27" s="326" t="s">
        <v>145</v>
      </c>
      <c r="K27" s="122">
        <v>0</v>
      </c>
      <c r="L27" s="123">
        <v>0</v>
      </c>
      <c r="M27" s="116" vm="1142">
        <v>11507305</v>
      </c>
      <c r="N27" s="117" vm="594">
        <v>11198183</v>
      </c>
      <c r="O27" s="326">
        <v>-2.6863109998388097</v>
      </c>
      <c r="P27" s="122">
        <v>0.71</v>
      </c>
      <c r="Q27" s="122">
        <v>0.67</v>
      </c>
    </row>
    <row r="28" spans="1:17" ht="23.55" customHeight="1" x14ac:dyDescent="0.3">
      <c r="B28" s="96" t="s" vm="13">
        <v>1</v>
      </c>
      <c r="C28" s="116" vm="1263">
        <v>52474256.890000008</v>
      </c>
      <c r="D28" s="117" vm="406">
        <v>55881044.489999995</v>
      </c>
      <c r="E28" s="326">
        <v>6.4923027059564049</v>
      </c>
      <c r="F28" s="122">
        <v>4.41</v>
      </c>
      <c r="G28" s="123">
        <v>4.76</v>
      </c>
      <c r="H28" s="116" vm="999">
        <v>10265230.710000001</v>
      </c>
      <c r="I28" s="117" vm="434">
        <v>9840262.1499999985</v>
      </c>
      <c r="J28" s="326">
        <v>-4.1398831843692818</v>
      </c>
      <c r="K28" s="122">
        <v>2.38</v>
      </c>
      <c r="L28" s="123">
        <v>2.0099999999999998</v>
      </c>
      <c r="M28" s="116" vm="1260">
        <v>62739487.600000009</v>
      </c>
      <c r="N28" s="117" vm="625">
        <v>65721306.639999993</v>
      </c>
      <c r="O28" s="326">
        <v>4.7526990641217424</v>
      </c>
      <c r="P28" s="122">
        <v>3.87</v>
      </c>
      <c r="Q28" s="122">
        <v>3.95</v>
      </c>
    </row>
    <row r="29" spans="1:17" ht="23.55" customHeight="1" x14ac:dyDescent="0.3">
      <c r="A29" s="253"/>
      <c r="B29" s="96" t="s" vm="8">
        <v>8</v>
      </c>
      <c r="C29" s="116">
        <v>65910206.540000007</v>
      </c>
      <c r="D29" s="117" vm="401">
        <v>61863478.06000001</v>
      </c>
      <c r="E29" s="326">
        <v>-6.1397599741158331</v>
      </c>
      <c r="F29" s="122">
        <v>5.54</v>
      </c>
      <c r="G29" s="123">
        <v>5.27</v>
      </c>
      <c r="H29" s="116">
        <v>44855889.019999996</v>
      </c>
      <c r="I29" s="117" vm="403">
        <v>40464519.18</v>
      </c>
      <c r="J29" s="326">
        <v>-9.7899516338690944</v>
      </c>
      <c r="K29" s="122">
        <v>10.39</v>
      </c>
      <c r="L29" s="123">
        <v>8.27</v>
      </c>
      <c r="M29" s="116">
        <v>110766095.56</v>
      </c>
      <c r="N29" s="117" vm="535">
        <v>102327997.24000001</v>
      </c>
      <c r="O29" s="326">
        <v>-7.6179432680546455</v>
      </c>
      <c r="P29" s="122">
        <v>6.84</v>
      </c>
      <c r="Q29" s="122">
        <v>6.16</v>
      </c>
    </row>
    <row r="30" spans="1:17" ht="23.55" customHeight="1" x14ac:dyDescent="0.3">
      <c r="B30" s="96" t="s" vm="1">
        <v>12</v>
      </c>
      <c r="C30" s="116" vm="1005">
        <v>11249907.920000002</v>
      </c>
      <c r="D30" s="117" vm="614">
        <v>9972995.4900000002</v>
      </c>
      <c r="E30" s="326">
        <v>-11.350425613083601</v>
      </c>
      <c r="F30" s="122">
        <v>0.95</v>
      </c>
      <c r="G30" s="123">
        <v>0.85</v>
      </c>
      <c r="H30" s="116">
        <v>0</v>
      </c>
      <c r="I30" s="117">
        <v>0</v>
      </c>
      <c r="J30" s="326" t="s">
        <v>145</v>
      </c>
      <c r="K30" s="122">
        <v>0</v>
      </c>
      <c r="L30" s="123">
        <v>0</v>
      </c>
      <c r="M30" s="116" vm="1640">
        <v>11249907.920000002</v>
      </c>
      <c r="N30" s="117" vm="495">
        <v>9972995.4900000002</v>
      </c>
      <c r="O30" s="326">
        <v>-11.350425613083601</v>
      </c>
      <c r="P30" s="122">
        <v>0.69</v>
      </c>
      <c r="Q30" s="122">
        <v>0.6</v>
      </c>
    </row>
    <row r="31" spans="1:17" ht="23.55" customHeight="1" x14ac:dyDescent="0.3">
      <c r="B31" s="96" t="s" vm="16">
        <v>25</v>
      </c>
      <c r="C31" s="116">
        <v>0</v>
      </c>
      <c r="D31" s="117">
        <v>0</v>
      </c>
      <c r="E31" s="326" t="s">
        <v>145</v>
      </c>
      <c r="F31" s="122">
        <v>0</v>
      </c>
      <c r="G31" s="123">
        <v>0</v>
      </c>
      <c r="H31" s="116" vm="791">
        <v>3241051.3299999996</v>
      </c>
      <c r="I31" s="117" vm="564">
        <v>3562453.76</v>
      </c>
      <c r="J31" s="326">
        <v>9.9166102994117153</v>
      </c>
      <c r="K31" s="122">
        <v>0.75</v>
      </c>
      <c r="L31" s="123">
        <v>0.73</v>
      </c>
      <c r="M31" s="116" vm="1155">
        <v>3241051.3299999996</v>
      </c>
      <c r="N31" s="117" vm="529">
        <v>3562453.76</v>
      </c>
      <c r="O31" s="326">
        <v>9.9166102994117153</v>
      </c>
      <c r="P31" s="122">
        <v>0.2</v>
      </c>
      <c r="Q31" s="122">
        <v>0.21</v>
      </c>
    </row>
    <row r="32" spans="1:17" ht="23.55" customHeight="1" x14ac:dyDescent="0.3">
      <c r="B32" s="96" t="s" vm="21">
        <v>110</v>
      </c>
      <c r="C32" s="116" vm="955">
        <v>47306000.609999999</v>
      </c>
      <c r="D32" s="117" vm="519">
        <v>44747109.129999995</v>
      </c>
      <c r="E32" s="326">
        <v>-5.409232332058707</v>
      </c>
      <c r="F32" s="122">
        <v>3.98</v>
      </c>
      <c r="G32" s="123">
        <v>3.81</v>
      </c>
      <c r="H32" s="116" vm="827">
        <v>40346626.620000005</v>
      </c>
      <c r="I32" s="117" vm="554">
        <v>45090377.700000003</v>
      </c>
      <c r="J32" s="326">
        <v>11.757491214020092</v>
      </c>
      <c r="K32" s="122">
        <v>9.34</v>
      </c>
      <c r="L32" s="123">
        <v>9.2200000000000006</v>
      </c>
      <c r="M32" s="116" vm="690">
        <v>87652627.230000004</v>
      </c>
      <c r="N32" s="117" vm="646">
        <v>89837486.829999998</v>
      </c>
      <c r="O32" s="326">
        <v>2.4926344697768599</v>
      </c>
      <c r="P32" s="122">
        <v>5.41</v>
      </c>
      <c r="Q32" s="122">
        <v>5.41</v>
      </c>
    </row>
    <row r="33" spans="2:17" ht="23.55" customHeight="1" thickBot="1" x14ac:dyDescent="0.35">
      <c r="B33" s="97" t="s" vm="249">
        <v>106</v>
      </c>
      <c r="C33" s="242">
        <v>0</v>
      </c>
      <c r="D33" s="243">
        <v>0</v>
      </c>
      <c r="E33" s="327" t="s">
        <v>145</v>
      </c>
      <c r="F33" s="244">
        <v>0</v>
      </c>
      <c r="G33" s="245">
        <v>0</v>
      </c>
      <c r="H33" s="242" vm="717">
        <v>3652893.97</v>
      </c>
      <c r="I33" s="243" vm="450">
        <v>4486836.42</v>
      </c>
      <c r="J33" s="327">
        <v>22.829637455915531</v>
      </c>
      <c r="K33" s="244">
        <v>0.85</v>
      </c>
      <c r="L33" s="245">
        <v>0.92</v>
      </c>
      <c r="M33" s="242" vm="689">
        <v>3652893.97</v>
      </c>
      <c r="N33" s="243" vm="478">
        <v>4486836.42</v>
      </c>
      <c r="O33" s="327">
        <v>22.829637455915531</v>
      </c>
      <c r="P33" s="244">
        <v>0.23</v>
      </c>
      <c r="Q33" s="244">
        <v>0.27</v>
      </c>
    </row>
    <row r="34" spans="2:17" ht="2.35" customHeight="1" x14ac:dyDescent="0.3">
      <c r="B34" s="93"/>
      <c r="C34" s="92"/>
      <c r="D34" s="92"/>
      <c r="E34" s="328" t="s">
        <v>145</v>
      </c>
      <c r="F34" s="124"/>
      <c r="G34" s="124"/>
      <c r="H34" s="126"/>
      <c r="I34" s="126"/>
      <c r="J34" s="328" t="s">
        <v>145</v>
      </c>
      <c r="K34" s="124"/>
      <c r="L34" s="124"/>
      <c r="M34" s="126"/>
      <c r="N34" s="126"/>
      <c r="O34" s="328" t="s">
        <v>145</v>
      </c>
      <c r="P34" s="124"/>
      <c r="Q34" s="124"/>
    </row>
    <row r="35" spans="2:17" ht="23" customHeight="1" x14ac:dyDescent="0.3">
      <c r="B35" s="94" t="s" vm="248">
        <v>146</v>
      </c>
      <c r="C35" s="118" vm="1043">
        <v>1188651953.5700004</v>
      </c>
      <c r="D35" s="118" vm="468">
        <v>1173000883.6500003</v>
      </c>
      <c r="E35" s="329">
        <v>-1.3167075419338374</v>
      </c>
      <c r="F35" s="125">
        <v>100</v>
      </c>
      <c r="G35" s="125">
        <v>100</v>
      </c>
      <c r="H35" s="118" vm="1080">
        <v>431856219.63</v>
      </c>
      <c r="I35" s="118" vm="409">
        <v>489115996.52999991</v>
      </c>
      <c r="J35" s="329">
        <v>13.258990908839579</v>
      </c>
      <c r="K35" s="125">
        <v>99.999999999999972</v>
      </c>
      <c r="L35" s="125">
        <v>100</v>
      </c>
      <c r="M35" s="118" vm="886">
        <v>1620508173.1999998</v>
      </c>
      <c r="N35" s="118" vm="499">
        <v>1662116880.1800003</v>
      </c>
      <c r="O35" s="329">
        <v>2.5676332688798595</v>
      </c>
      <c r="P35" s="125">
        <v>100.00000000000001</v>
      </c>
      <c r="Q35" s="125">
        <v>100</v>
      </c>
    </row>
    <row r="36" spans="2:17" ht="21.75" customHeight="1" x14ac:dyDescent="0.3">
      <c r="B36" s="252"/>
      <c r="C36" s="62"/>
      <c r="D36" s="62"/>
      <c r="E36" s="63"/>
      <c r="F36" s="100"/>
      <c r="G36" s="100"/>
    </row>
    <row r="37" spans="2:17" x14ac:dyDescent="0.3">
      <c r="B37" s="100"/>
      <c r="C37" s="62"/>
      <c r="D37" s="62"/>
      <c r="E37" s="63"/>
      <c r="F37" s="100"/>
      <c r="G37" s="100"/>
    </row>
    <row r="38" spans="2:17" x14ac:dyDescent="0.3">
      <c r="B38" s="100"/>
      <c r="C38" s="62"/>
      <c r="D38" s="62"/>
      <c r="E38" s="63"/>
      <c r="F38" s="100"/>
      <c r="G38" s="100"/>
    </row>
  </sheetData>
  <sortState ref="B9:Q35">
    <sortCondition ref="B9"/>
  </sortState>
  <mergeCells count="15">
    <mergeCell ref="A1:R1"/>
    <mergeCell ref="A2:R2"/>
    <mergeCell ref="F6:G6"/>
    <mergeCell ref="E6:E7"/>
    <mergeCell ref="C6:D6"/>
    <mergeCell ref="M5:Q5"/>
    <mergeCell ref="H5:L5"/>
    <mergeCell ref="C5:G5"/>
    <mergeCell ref="K6:L6"/>
    <mergeCell ref="M6:N6"/>
    <mergeCell ref="O6:O7"/>
    <mergeCell ref="P6:Q6"/>
    <mergeCell ref="J6:J7"/>
    <mergeCell ref="H6:I6"/>
    <mergeCell ref="B5:B7"/>
  </mergeCells>
  <conditionalFormatting sqref="U9:U1048576">
    <cfRule type="dataBar" priority="19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{0C430695-11C9-483C-ABE6-D4564109D5D1}</x14:id>
        </ext>
      </extLst>
    </cfRule>
  </conditionalFormatting>
  <conditionalFormatting sqref="V9:V1048576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{1B5C341E-EA11-4EE8-B35C-4D991B2D10BF}</x14:id>
        </ext>
      </extLst>
    </cfRule>
  </conditionalFormatting>
  <conditionalFormatting sqref="M1:M8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{E618F87C-5897-46F4-8A15-4D003FFA3A58}</x14:id>
        </ext>
      </extLst>
    </cfRule>
  </conditionalFormatting>
  <conditionalFormatting sqref="N1:N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{C7361D8F-E6CA-4FAB-AF69-FBFCAD78DDFA}</x14:id>
        </ext>
      </extLst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72" orientation="landscape" r:id="rId1"/>
  <customProperties>
    <customPr name="Version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430695-11C9-483C-ABE6-D4564109D5D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U9:U1048576</xm:sqref>
        </x14:conditionalFormatting>
        <x14:conditionalFormatting xmlns:xm="http://schemas.microsoft.com/office/excel/2006/main">
          <x14:cfRule type="dataBar" id="{1B5C341E-EA11-4EE8-B35C-4D991B2D10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V9:V1048576</xm:sqref>
        </x14:conditionalFormatting>
        <x14:conditionalFormatting xmlns:xm="http://schemas.microsoft.com/office/excel/2006/main">
          <x14:cfRule type="dataBar" id="{E618F87C-5897-46F4-8A15-4D003FFA3A5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M1:M8</xm:sqref>
        </x14:conditionalFormatting>
        <x14:conditionalFormatting xmlns:xm="http://schemas.microsoft.com/office/excel/2006/main">
          <x14:cfRule type="dataBar" id="{C7361D8F-E6CA-4FAB-AF69-FBFCAD78DDF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N1:N8</xm:sqref>
        </x14:conditionalFormatting>
        <x14:conditionalFormatting xmlns:xm="http://schemas.microsoft.com/office/excel/2006/main">
          <x14:cfRule type="iconSet" priority="25" id="{3D88E064-D5C5-4B92-A07D-F520AD6E8B3D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W9:W1048576</xm:sqref>
        </x14:conditionalFormatting>
        <x14:conditionalFormatting xmlns:xm="http://schemas.microsoft.com/office/excel/2006/main">
          <x14:cfRule type="iconSet" priority="3" id="{B6BD1FCB-D337-443A-A23A-4A5660B78559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O1:O8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Z133"/>
  <sheetViews>
    <sheetView showGridLines="0" zoomScale="86" zoomScaleNormal="86" workbookViewId="0">
      <selection activeCell="A2" sqref="A2:R2"/>
    </sheetView>
  </sheetViews>
  <sheetFormatPr defaultColWidth="9.296875" defaultRowHeight="14.4" x14ac:dyDescent="0.3"/>
  <cols>
    <col min="1" max="1" width="9.296875" style="8" customWidth="1"/>
    <col min="2" max="2" width="21.69921875" style="55" customWidth="1"/>
    <col min="3" max="4" width="14.69921875" style="60" customWidth="1"/>
    <col min="5" max="7" width="8.69921875" style="60" customWidth="1"/>
    <col min="8" max="9" width="14.69921875" style="60" customWidth="1"/>
    <col min="10" max="12" width="8.69921875" style="60" customWidth="1"/>
    <col min="13" max="13" width="14.69921875" style="61" customWidth="1"/>
    <col min="14" max="14" width="14.69921875" style="8" customWidth="1"/>
    <col min="15" max="15" width="8.69921875" style="8" customWidth="1"/>
    <col min="16" max="17" width="8.69921875" style="60" customWidth="1"/>
    <col min="18" max="18" width="13.59765625" style="8" customWidth="1"/>
    <col min="19" max="19" width="12.69921875" style="8" customWidth="1"/>
    <col min="20" max="20" width="12.3984375" style="8" customWidth="1"/>
    <col min="21" max="21" width="13.69921875" style="8" customWidth="1"/>
    <col min="22" max="22" width="13.59765625" style="8" customWidth="1"/>
    <col min="23" max="23" width="13.69921875" style="61" customWidth="1"/>
    <col min="24" max="24" width="14.69921875" style="8" customWidth="1"/>
    <col min="25" max="25" width="14.3984375" style="8" customWidth="1"/>
    <col min="26" max="26" width="5.69921875" style="8" customWidth="1"/>
    <col min="27" max="16384" width="9.296875" style="8"/>
  </cols>
  <sheetData>
    <row r="1" spans="1:23" s="18" customFormat="1" ht="58.85" customHeight="1" x14ac:dyDescent="0.3">
      <c r="A1" s="346" t="s">
        <v>141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</row>
    <row r="2" spans="1:23" s="18" customFormat="1" ht="13.15" x14ac:dyDescent="0.35">
      <c r="A2" s="347"/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</row>
    <row r="3" spans="1:23" ht="14.95" customHeight="1" x14ac:dyDescent="0.3">
      <c r="E3" s="61"/>
      <c r="F3" s="8"/>
      <c r="G3" s="8"/>
      <c r="J3" s="8"/>
      <c r="K3" s="8"/>
      <c r="L3" s="8"/>
      <c r="M3" s="8"/>
      <c r="O3" s="61"/>
      <c r="P3" s="8"/>
      <c r="Q3" s="8"/>
      <c r="W3" s="8"/>
    </row>
    <row r="4" spans="1:23" ht="14.95" thickBot="1" x14ac:dyDescent="0.35">
      <c r="E4" s="61"/>
      <c r="F4" s="8"/>
      <c r="G4" s="8"/>
      <c r="J4" s="8"/>
      <c r="K4" s="8"/>
      <c r="L4" s="8"/>
      <c r="M4" s="8"/>
      <c r="O4" s="61"/>
      <c r="P4" s="8"/>
      <c r="Q4" s="8"/>
      <c r="W4" s="8"/>
    </row>
    <row r="5" spans="1:23" s="53" customFormat="1" x14ac:dyDescent="0.3">
      <c r="B5" s="357" t="s">
        <v>39</v>
      </c>
      <c r="C5" s="353" t="s">
        <v>34</v>
      </c>
      <c r="D5" s="353"/>
      <c r="E5" s="353"/>
      <c r="F5" s="353"/>
      <c r="G5" s="353"/>
      <c r="H5" s="353" t="s">
        <v>35</v>
      </c>
      <c r="I5" s="353"/>
      <c r="J5" s="353"/>
      <c r="K5" s="353"/>
      <c r="L5" s="353"/>
      <c r="M5" s="353" t="s">
        <v>36</v>
      </c>
      <c r="N5" s="353"/>
      <c r="O5" s="353"/>
      <c r="P5" s="353"/>
      <c r="Q5" s="354"/>
    </row>
    <row r="6" spans="1:23" s="53" customFormat="1" ht="14.95" customHeight="1" x14ac:dyDescent="0.3">
      <c r="B6" s="358"/>
      <c r="C6" s="351" t="s">
        <v>41</v>
      </c>
      <c r="D6" s="351"/>
      <c r="E6" s="349" t="s">
        <v>142</v>
      </c>
      <c r="F6" s="355" t="s">
        <v>38</v>
      </c>
      <c r="G6" s="355"/>
      <c r="H6" s="351" t="s">
        <v>41</v>
      </c>
      <c r="I6" s="351"/>
      <c r="J6" s="360" t="s">
        <v>142</v>
      </c>
      <c r="K6" s="355" t="s">
        <v>38</v>
      </c>
      <c r="L6" s="355"/>
      <c r="M6" s="351" t="s">
        <v>41</v>
      </c>
      <c r="N6" s="351"/>
      <c r="O6" s="349" t="s">
        <v>142</v>
      </c>
      <c r="P6" s="355" t="s">
        <v>38</v>
      </c>
      <c r="Q6" s="356"/>
    </row>
    <row r="7" spans="1:23" s="53" customFormat="1" ht="12.05" customHeight="1" thickBot="1" x14ac:dyDescent="0.35">
      <c r="B7" s="359"/>
      <c r="C7" s="19" t="s">
        <v>143</v>
      </c>
      <c r="D7" s="19" t="s">
        <v>144</v>
      </c>
      <c r="E7" s="350"/>
      <c r="F7" s="91">
        <v>2014</v>
      </c>
      <c r="G7" s="91">
        <v>2015</v>
      </c>
      <c r="H7" s="19" t="s">
        <v>143</v>
      </c>
      <c r="I7" s="19" t="s">
        <v>144</v>
      </c>
      <c r="J7" s="361"/>
      <c r="K7" s="91">
        <v>2014</v>
      </c>
      <c r="L7" s="91">
        <v>2015</v>
      </c>
      <c r="M7" s="91" t="s">
        <v>143</v>
      </c>
      <c r="N7" s="91" t="s">
        <v>144</v>
      </c>
      <c r="O7" s="350"/>
      <c r="P7" s="91">
        <v>2014</v>
      </c>
      <c r="Q7" s="48">
        <v>2015</v>
      </c>
    </row>
    <row r="8" spans="1:23" ht="2.35" customHeight="1" thickBot="1" x14ac:dyDescent="0.35">
      <c r="B8" s="101"/>
      <c r="C8" s="103"/>
      <c r="D8" s="103"/>
      <c r="E8" s="102"/>
      <c r="F8" s="102"/>
      <c r="G8" s="102"/>
      <c r="H8" s="102"/>
      <c r="I8" s="102"/>
      <c r="J8" s="102"/>
      <c r="K8" s="102"/>
      <c r="L8" s="102"/>
      <c r="M8" s="102"/>
      <c r="N8" s="103"/>
      <c r="O8" s="103"/>
      <c r="P8" s="103"/>
      <c r="Q8" s="103"/>
      <c r="W8" s="8"/>
    </row>
    <row r="9" spans="1:23" ht="23.55" customHeight="1" thickTop="1" x14ac:dyDescent="0.3">
      <c r="B9" s="104" t="s" vm="11">
        <v>116</v>
      </c>
      <c r="C9" s="130" vm="1325">
        <v>0</v>
      </c>
      <c r="D9" s="130" vm="545">
        <v>0</v>
      </c>
      <c r="E9" s="325" t="s">
        <v>145</v>
      </c>
      <c r="F9" s="131">
        <v>0</v>
      </c>
      <c r="G9" s="132">
        <v>0</v>
      </c>
      <c r="H9" s="130" vm="1075">
        <v>82436</v>
      </c>
      <c r="I9" s="130" vm="438">
        <v>74663</v>
      </c>
      <c r="J9" s="325">
        <v>-9.4291329031005944</v>
      </c>
      <c r="K9" s="131">
        <v>5.72</v>
      </c>
      <c r="L9" s="132">
        <v>5.03</v>
      </c>
      <c r="M9" s="130" vm="1168">
        <v>82436</v>
      </c>
      <c r="N9" s="130" vm="506">
        <v>74663</v>
      </c>
      <c r="O9" s="325">
        <v>-9.4291329031005944</v>
      </c>
      <c r="P9" s="136">
        <v>3.3</v>
      </c>
      <c r="Q9" s="136">
        <v>2.8699999999999997</v>
      </c>
      <c r="W9" s="8"/>
    </row>
    <row r="10" spans="1:23" ht="23.55" customHeight="1" x14ac:dyDescent="0.3">
      <c r="B10" s="105" t="s" vm="6">
        <v>2</v>
      </c>
      <c r="C10" s="127" vm="1337">
        <v>125382</v>
      </c>
      <c r="D10" s="127" vm="527">
        <v>113388</v>
      </c>
      <c r="E10" s="326">
        <v>-9.5659664066612464</v>
      </c>
      <c r="F10" s="133">
        <v>11.85</v>
      </c>
      <c r="G10" s="134">
        <v>10.1</v>
      </c>
      <c r="H10" s="127" vm="989">
        <v>333687</v>
      </c>
      <c r="I10" s="127" vm="507">
        <v>370487</v>
      </c>
      <c r="J10" s="326">
        <v>11.028298974787745</v>
      </c>
      <c r="K10" s="133">
        <v>23.15</v>
      </c>
      <c r="L10" s="134">
        <v>24.98</v>
      </c>
      <c r="M10" s="127" vm="1040">
        <v>459069</v>
      </c>
      <c r="N10" s="127" vm="571">
        <v>483875</v>
      </c>
      <c r="O10" s="326">
        <v>5.4035450008604471</v>
      </c>
      <c r="P10" s="137">
        <v>18.37</v>
      </c>
      <c r="Q10" s="137">
        <v>18.57</v>
      </c>
      <c r="W10" s="8"/>
    </row>
    <row r="11" spans="1:23" ht="23.55" customHeight="1" x14ac:dyDescent="0.3">
      <c r="B11" s="105" t="s" vm="5">
        <v>20</v>
      </c>
      <c r="C11" s="127" vm="1311">
        <v>2275</v>
      </c>
      <c r="D11" s="127" vm="427">
        <v>5044</v>
      </c>
      <c r="E11" s="326">
        <v>121.71428571428572</v>
      </c>
      <c r="F11" s="133">
        <v>0.22</v>
      </c>
      <c r="G11" s="134">
        <v>0.45</v>
      </c>
      <c r="H11" s="127" vm="882">
        <v>0</v>
      </c>
      <c r="I11" s="127" vm="482">
        <v>0</v>
      </c>
      <c r="J11" s="326" t="s">
        <v>145</v>
      </c>
      <c r="K11" s="133">
        <v>0</v>
      </c>
      <c r="L11" s="134">
        <v>0</v>
      </c>
      <c r="M11" s="127" vm="822">
        <v>2275</v>
      </c>
      <c r="N11" s="127" vm="407">
        <v>5044</v>
      </c>
      <c r="O11" s="326">
        <v>121.71428571428572</v>
      </c>
      <c r="P11" s="137">
        <v>0.09</v>
      </c>
      <c r="Q11" s="137">
        <v>0.19</v>
      </c>
      <c r="W11" s="8"/>
    </row>
    <row r="12" spans="1:23" ht="23.55" customHeight="1" x14ac:dyDescent="0.3">
      <c r="B12" s="105" t="s" vm="15">
        <v>0</v>
      </c>
      <c r="C12" s="127" vm="1209">
        <v>323996</v>
      </c>
      <c r="D12" s="127" vm="562">
        <v>349151</v>
      </c>
      <c r="E12" s="326">
        <v>7.7639847405523597</v>
      </c>
      <c r="F12" s="133">
        <v>30.63</v>
      </c>
      <c r="G12" s="134">
        <v>31.09</v>
      </c>
      <c r="H12" s="127" vm="725">
        <v>165348</v>
      </c>
      <c r="I12" s="127" vm="441">
        <v>166165</v>
      </c>
      <c r="J12" s="326">
        <v>0.4941093935215406</v>
      </c>
      <c r="K12" s="133">
        <v>11.47</v>
      </c>
      <c r="L12" s="134">
        <v>11.2</v>
      </c>
      <c r="M12" s="127" vm="1092">
        <v>489344</v>
      </c>
      <c r="N12" s="127" vm="521">
        <v>515316</v>
      </c>
      <c r="O12" s="326">
        <v>5.3075137326706852</v>
      </c>
      <c r="P12" s="137">
        <v>19.579999999999998</v>
      </c>
      <c r="Q12" s="137">
        <v>19.77</v>
      </c>
      <c r="W12" s="8"/>
    </row>
    <row r="13" spans="1:23" ht="23.55" customHeight="1" x14ac:dyDescent="0.3">
      <c r="B13" s="105" t="s" vm="20">
        <v>111</v>
      </c>
      <c r="C13" s="127" vm="1289">
        <v>8421</v>
      </c>
      <c r="D13" s="127" vm="448">
        <v>15718</v>
      </c>
      <c r="E13" s="326">
        <v>86.652416577603617</v>
      </c>
      <c r="F13" s="133">
        <v>0.8</v>
      </c>
      <c r="G13" s="134">
        <v>1.4</v>
      </c>
      <c r="H13" s="127">
        <v>0</v>
      </c>
      <c r="I13" s="127">
        <v>0</v>
      </c>
      <c r="J13" s="326" t="s">
        <v>145</v>
      </c>
      <c r="K13" s="133">
        <v>0</v>
      </c>
      <c r="L13" s="134">
        <v>0</v>
      </c>
      <c r="M13" s="127" vm="1249">
        <v>8421</v>
      </c>
      <c r="N13" s="127" vm="583">
        <v>15718</v>
      </c>
      <c r="O13" s="326">
        <v>86.652416577603617</v>
      </c>
      <c r="P13" s="137">
        <v>0.34</v>
      </c>
      <c r="Q13" s="137">
        <v>0.6</v>
      </c>
      <c r="W13" s="8"/>
    </row>
    <row r="14" spans="1:23" ht="23.55" customHeight="1" x14ac:dyDescent="0.3">
      <c r="B14" s="105" t="s" vm="12">
        <v>113</v>
      </c>
      <c r="C14" s="127" vm="828">
        <v>1345</v>
      </c>
      <c r="D14" s="127" vm="432">
        <v>5307</v>
      </c>
      <c r="E14" s="326">
        <v>294.57249070631974</v>
      </c>
      <c r="F14" s="133">
        <v>0.13</v>
      </c>
      <c r="G14" s="134">
        <v>0.47</v>
      </c>
      <c r="H14" s="127">
        <v>0</v>
      </c>
      <c r="I14" s="127">
        <v>0</v>
      </c>
      <c r="J14" s="326" t="s">
        <v>145</v>
      </c>
      <c r="K14" s="133">
        <v>0</v>
      </c>
      <c r="L14" s="134">
        <v>0</v>
      </c>
      <c r="M14" s="127" vm="1338">
        <v>1345</v>
      </c>
      <c r="N14" s="127" vm="638">
        <v>5307</v>
      </c>
      <c r="O14" s="326">
        <v>294.57249070631974</v>
      </c>
      <c r="P14" s="137">
        <v>0.05</v>
      </c>
      <c r="Q14" s="137">
        <v>0.2</v>
      </c>
      <c r="W14" s="8"/>
    </row>
    <row r="15" spans="1:23" ht="23.55" customHeight="1" x14ac:dyDescent="0.3">
      <c r="B15" s="105" t="s" vm="7">
        <v>105</v>
      </c>
      <c r="C15" s="127">
        <v>0</v>
      </c>
      <c r="D15" s="127">
        <v>0</v>
      </c>
      <c r="E15" s="326" t="s">
        <v>145</v>
      </c>
      <c r="F15" s="133">
        <v>0</v>
      </c>
      <c r="G15" s="134">
        <v>0</v>
      </c>
      <c r="H15" s="127" vm="810">
        <v>14688</v>
      </c>
      <c r="I15" s="127" vm="503">
        <v>12767</v>
      </c>
      <c r="J15" s="326">
        <v>-13.078703703703709</v>
      </c>
      <c r="K15" s="133">
        <v>1.02</v>
      </c>
      <c r="L15" s="134">
        <v>0.86</v>
      </c>
      <c r="M15" s="127" vm="1001">
        <v>14688</v>
      </c>
      <c r="N15" s="127" vm="541">
        <v>12767</v>
      </c>
      <c r="O15" s="326">
        <v>-13.078703703703709</v>
      </c>
      <c r="P15" s="137">
        <v>0.59</v>
      </c>
      <c r="Q15" s="137">
        <v>0.49</v>
      </c>
      <c r="W15" s="8"/>
    </row>
    <row r="16" spans="1:23" ht="23.55" customHeight="1" x14ac:dyDescent="0.3">
      <c r="B16" s="105" t="s" vm="4">
        <v>11</v>
      </c>
      <c r="C16" s="127">
        <v>0</v>
      </c>
      <c r="D16" s="127">
        <v>0</v>
      </c>
      <c r="E16" s="326" t="s">
        <v>145</v>
      </c>
      <c r="F16" s="133">
        <v>0</v>
      </c>
      <c r="G16" s="134">
        <v>0</v>
      </c>
      <c r="H16" s="127" vm="1631">
        <v>63925</v>
      </c>
      <c r="I16" s="127" vm="487">
        <v>64813</v>
      </c>
      <c r="J16" s="326">
        <v>1.3891278842393433</v>
      </c>
      <c r="K16" s="133">
        <v>4.4400000000000004</v>
      </c>
      <c r="L16" s="134">
        <v>4.37</v>
      </c>
      <c r="M16" s="127" vm="789">
        <v>63925</v>
      </c>
      <c r="N16" s="127" vm="496">
        <v>64813</v>
      </c>
      <c r="O16" s="326">
        <v>1.3891278842393433</v>
      </c>
      <c r="P16" s="137">
        <v>2.56</v>
      </c>
      <c r="Q16" s="137">
        <v>2.4900000000000002</v>
      </c>
      <c r="W16" s="8"/>
    </row>
    <row r="17" spans="1:23" ht="23.55" customHeight="1" x14ac:dyDescent="0.3">
      <c r="B17" s="105" t="s" vm="18">
        <v>4</v>
      </c>
      <c r="C17" s="127" vm="682">
        <v>164639</v>
      </c>
      <c r="D17" s="127" vm="593">
        <v>167888</v>
      </c>
      <c r="E17" s="326">
        <v>1.9734084876608762</v>
      </c>
      <c r="F17" s="133">
        <v>15.57</v>
      </c>
      <c r="G17" s="134">
        <v>14.95</v>
      </c>
      <c r="H17" s="127" vm="979">
        <v>0</v>
      </c>
      <c r="I17" s="127" vm="528">
        <v>0</v>
      </c>
      <c r="J17" s="326" t="s">
        <v>145</v>
      </c>
      <c r="K17" s="133">
        <v>0</v>
      </c>
      <c r="L17" s="134">
        <v>0</v>
      </c>
      <c r="M17" s="127" vm="1350">
        <v>164639</v>
      </c>
      <c r="N17" s="127" vm="512">
        <v>167888</v>
      </c>
      <c r="O17" s="326">
        <v>1.9734084876608762</v>
      </c>
      <c r="P17" s="137">
        <v>6.59</v>
      </c>
      <c r="Q17" s="137">
        <v>6.44</v>
      </c>
      <c r="W17" s="8"/>
    </row>
    <row r="18" spans="1:23" ht="23.55" customHeight="1" x14ac:dyDescent="0.3">
      <c r="B18" s="105" t="s" vm="22">
        <v>10</v>
      </c>
      <c r="C18" s="127" vm="1257">
        <v>60160</v>
      </c>
      <c r="D18" s="127" vm="623">
        <v>77134</v>
      </c>
      <c r="E18" s="326">
        <v>28.214760638297861</v>
      </c>
      <c r="F18" s="133">
        <v>5.69</v>
      </c>
      <c r="G18" s="134">
        <v>6.87</v>
      </c>
      <c r="H18" s="127" vm="1341">
        <v>76647</v>
      </c>
      <c r="I18" s="127" vm="557">
        <v>79052</v>
      </c>
      <c r="J18" s="326">
        <v>3.1377614257570343</v>
      </c>
      <c r="K18" s="133">
        <v>5.32</v>
      </c>
      <c r="L18" s="134">
        <v>5.33</v>
      </c>
      <c r="M18" s="127" vm="680">
        <v>136807</v>
      </c>
      <c r="N18" s="127" vm="511">
        <v>156186</v>
      </c>
      <c r="O18" s="326">
        <v>14.165210844474331</v>
      </c>
      <c r="P18" s="137">
        <v>5.4799999999999995</v>
      </c>
      <c r="Q18" s="137">
        <v>5.99</v>
      </c>
      <c r="W18" s="8"/>
    </row>
    <row r="19" spans="1:23" ht="23.55" customHeight="1" x14ac:dyDescent="0.3">
      <c r="B19" s="105" t="s" vm="10">
        <v>5</v>
      </c>
      <c r="C19" s="127" vm="1166">
        <v>35802</v>
      </c>
      <c r="D19" s="127" vm="616">
        <v>34751</v>
      </c>
      <c r="E19" s="326">
        <v>-2.9355901904921495</v>
      </c>
      <c r="F19" s="133">
        <v>3.38</v>
      </c>
      <c r="G19" s="134">
        <v>3.09</v>
      </c>
      <c r="H19" s="127" vm="940">
        <v>115768</v>
      </c>
      <c r="I19" s="127" vm="559">
        <v>110443</v>
      </c>
      <c r="J19" s="326">
        <v>-4.5997166747287679</v>
      </c>
      <c r="K19" s="133">
        <v>8.0299999999999994</v>
      </c>
      <c r="L19" s="134">
        <v>7.44</v>
      </c>
      <c r="M19" s="127" vm="1256">
        <v>151570</v>
      </c>
      <c r="N19" s="127" vm="520">
        <v>145194</v>
      </c>
      <c r="O19" s="326">
        <v>-4.2066371973345582</v>
      </c>
      <c r="P19" s="137">
        <v>6.07</v>
      </c>
      <c r="Q19" s="137">
        <v>5.57</v>
      </c>
      <c r="W19" s="8"/>
    </row>
    <row r="20" spans="1:23" ht="23.55" customHeight="1" x14ac:dyDescent="0.3">
      <c r="B20" s="105" t="s" vm="24">
        <v>9</v>
      </c>
      <c r="C20" s="127" vm="1228">
        <v>28557</v>
      </c>
      <c r="D20" s="127" vm="626">
        <v>31957</v>
      </c>
      <c r="E20" s="326">
        <v>11.906012536330863</v>
      </c>
      <c r="F20" s="133">
        <v>2.7</v>
      </c>
      <c r="G20" s="134">
        <v>2.84</v>
      </c>
      <c r="H20" s="127">
        <v>0</v>
      </c>
      <c r="I20" s="127">
        <v>0</v>
      </c>
      <c r="J20" s="326" t="s">
        <v>145</v>
      </c>
      <c r="K20" s="133">
        <v>0</v>
      </c>
      <c r="L20" s="134">
        <v>0</v>
      </c>
      <c r="M20" s="127" vm="1264">
        <v>28557</v>
      </c>
      <c r="N20" s="127" vm="459">
        <v>31957</v>
      </c>
      <c r="O20" s="326">
        <v>11.906012536330863</v>
      </c>
      <c r="P20" s="137">
        <v>1.1399999999999999</v>
      </c>
      <c r="Q20" s="137">
        <v>1.23</v>
      </c>
      <c r="W20" s="8"/>
    </row>
    <row r="21" spans="1:23" ht="23.55" customHeight="1" x14ac:dyDescent="0.3">
      <c r="B21" s="105" t="s" vm="14">
        <v>22</v>
      </c>
      <c r="C21" s="127" vm="1299">
        <v>50</v>
      </c>
      <c r="D21" s="127" vm="558">
        <v>61</v>
      </c>
      <c r="E21" s="326">
        <v>22</v>
      </c>
      <c r="F21" s="133">
        <v>0</v>
      </c>
      <c r="G21" s="134">
        <v>0.01</v>
      </c>
      <c r="H21" s="127">
        <v>0</v>
      </c>
      <c r="I21" s="127" vm="416">
        <v>0</v>
      </c>
      <c r="J21" s="326" t="s">
        <v>145</v>
      </c>
      <c r="K21" s="133">
        <v>0</v>
      </c>
      <c r="L21" s="134">
        <v>0</v>
      </c>
      <c r="M21" s="127" vm="836">
        <v>50</v>
      </c>
      <c r="N21" s="127" vm="639">
        <v>61</v>
      </c>
      <c r="O21" s="326">
        <v>22</v>
      </c>
      <c r="P21" s="137">
        <v>0</v>
      </c>
      <c r="Q21" s="137">
        <v>0</v>
      </c>
      <c r="W21" s="8"/>
    </row>
    <row r="22" spans="1:23" ht="23.55" customHeight="1" x14ac:dyDescent="0.3">
      <c r="B22" s="105" t="s" vm="9">
        <v>13</v>
      </c>
      <c r="C22" s="127" vm="1165">
        <v>5649</v>
      </c>
      <c r="D22" s="127" vm="456">
        <v>7396</v>
      </c>
      <c r="E22" s="326">
        <v>30.925827580102663</v>
      </c>
      <c r="F22" s="133">
        <v>0.53</v>
      </c>
      <c r="G22" s="134">
        <v>0.66</v>
      </c>
      <c r="H22" s="127">
        <v>0</v>
      </c>
      <c r="I22" s="127">
        <v>0</v>
      </c>
      <c r="J22" s="326" t="s">
        <v>145</v>
      </c>
      <c r="K22" s="133">
        <v>0</v>
      </c>
      <c r="L22" s="134">
        <v>0</v>
      </c>
      <c r="M22" s="127" vm="1653">
        <v>5649</v>
      </c>
      <c r="N22" s="127" vm="556">
        <v>7396</v>
      </c>
      <c r="O22" s="326">
        <v>30.925827580102663</v>
      </c>
      <c r="P22" s="137">
        <v>0.23</v>
      </c>
      <c r="Q22" s="137">
        <v>0.28000000000000003</v>
      </c>
      <c r="W22" s="8"/>
    </row>
    <row r="23" spans="1:23" ht="23.55" customHeight="1" x14ac:dyDescent="0.3">
      <c r="B23" s="105" t="s" vm="3">
        <v>3</v>
      </c>
      <c r="C23" s="127" vm="941">
        <v>109843</v>
      </c>
      <c r="D23" s="127" vm="442">
        <v>102266</v>
      </c>
      <c r="E23" s="326">
        <v>-6.8980271842538912</v>
      </c>
      <c r="F23" s="133">
        <v>10.38</v>
      </c>
      <c r="G23" s="134">
        <v>9.11</v>
      </c>
      <c r="H23" s="127" vm="1025">
        <v>0</v>
      </c>
      <c r="I23" s="127" vm="433">
        <v>0</v>
      </c>
      <c r="J23" s="326" t="s">
        <v>145</v>
      </c>
      <c r="K23" s="133">
        <v>0</v>
      </c>
      <c r="L23" s="134">
        <v>0</v>
      </c>
      <c r="M23" s="127" vm="881">
        <v>109843</v>
      </c>
      <c r="N23" s="127" vm="563">
        <v>102266</v>
      </c>
      <c r="O23" s="326">
        <v>-6.8980271842538912</v>
      </c>
      <c r="P23" s="137">
        <v>4.4000000000000004</v>
      </c>
      <c r="Q23" s="137">
        <v>3.92</v>
      </c>
      <c r="W23" s="8"/>
    </row>
    <row r="24" spans="1:23" ht="23.55" customHeight="1" x14ac:dyDescent="0.3">
      <c r="B24" s="105" t="s" vm="17">
        <v>23</v>
      </c>
      <c r="C24" s="127" vm="896">
        <v>0</v>
      </c>
      <c r="D24" s="127" vm="613">
        <v>0</v>
      </c>
      <c r="E24" s="326" t="s">
        <v>145</v>
      </c>
      <c r="F24" s="133">
        <v>0</v>
      </c>
      <c r="G24" s="134">
        <v>0</v>
      </c>
      <c r="H24" s="127" vm="1197">
        <v>8257</v>
      </c>
      <c r="I24" s="127" vm="544">
        <v>8482</v>
      </c>
      <c r="J24" s="326">
        <v>2.7249606394574357</v>
      </c>
      <c r="K24" s="133">
        <v>0.56999999999999995</v>
      </c>
      <c r="L24" s="134">
        <v>0.56999999999999995</v>
      </c>
      <c r="M24" s="127" vm="988">
        <v>8257</v>
      </c>
      <c r="N24" s="127" vm="572">
        <v>8482</v>
      </c>
      <c r="O24" s="326">
        <v>2.7249606394574357</v>
      </c>
      <c r="P24" s="137">
        <v>0.33</v>
      </c>
      <c r="Q24" s="137">
        <v>0.33</v>
      </c>
      <c r="W24" s="8"/>
    </row>
    <row r="25" spans="1:23" ht="23.55" customHeight="1" x14ac:dyDescent="0.3">
      <c r="B25" s="105" t="s" vm="19">
        <v>6</v>
      </c>
      <c r="C25" s="127" vm="1288">
        <v>7991</v>
      </c>
      <c r="D25" s="127" vm="439">
        <v>8359</v>
      </c>
      <c r="E25" s="326">
        <v>4.6051808284319691</v>
      </c>
      <c r="F25" s="133">
        <v>0.76</v>
      </c>
      <c r="G25" s="134">
        <v>0.74</v>
      </c>
      <c r="H25" s="127" vm="697">
        <v>141474</v>
      </c>
      <c r="I25" s="127" vm="560">
        <v>136101</v>
      </c>
      <c r="J25" s="326">
        <v>-3.7978709868951199</v>
      </c>
      <c r="K25" s="133">
        <v>9.82</v>
      </c>
      <c r="L25" s="134">
        <v>9.18</v>
      </c>
      <c r="M25" s="127" vm="854">
        <v>149465</v>
      </c>
      <c r="N25" s="127" vm="579">
        <v>144460</v>
      </c>
      <c r="O25" s="326">
        <v>-3.3486100424848644</v>
      </c>
      <c r="P25" s="137">
        <v>5.98</v>
      </c>
      <c r="Q25" s="137">
        <v>5.54</v>
      </c>
      <c r="W25" s="8"/>
    </row>
    <row r="26" spans="1:23" ht="23.55" customHeight="1" x14ac:dyDescent="0.3">
      <c r="B26" s="105" t="s" vm="2">
        <v>24</v>
      </c>
      <c r="C26" s="127" vm="887">
        <v>0</v>
      </c>
      <c r="D26" s="127" vm="402">
        <v>0</v>
      </c>
      <c r="E26" s="326" t="s">
        <v>145</v>
      </c>
      <c r="F26" s="133">
        <v>0</v>
      </c>
      <c r="G26" s="134">
        <v>0</v>
      </c>
      <c r="H26" s="127" vm="924">
        <v>70705</v>
      </c>
      <c r="I26" s="127" vm="590">
        <v>78676</v>
      </c>
      <c r="J26" s="326">
        <v>11.273601584046403</v>
      </c>
      <c r="K26" s="133">
        <v>4.91</v>
      </c>
      <c r="L26" s="134">
        <v>5.3</v>
      </c>
      <c r="M26" s="127" vm="755">
        <v>70705</v>
      </c>
      <c r="N26" s="127" vm="549">
        <v>78676</v>
      </c>
      <c r="O26" s="326">
        <v>11.273601584046403</v>
      </c>
      <c r="P26" s="137">
        <v>2.83</v>
      </c>
      <c r="Q26" s="137">
        <v>3.02</v>
      </c>
      <c r="W26" s="8"/>
    </row>
    <row r="27" spans="1:23" ht="23.55" customHeight="1" x14ac:dyDescent="0.3">
      <c r="B27" s="105" t="s" vm="23">
        <v>7</v>
      </c>
      <c r="C27" s="127" vm="708">
        <v>8709</v>
      </c>
      <c r="D27" s="127" vm="462">
        <v>8150</v>
      </c>
      <c r="E27" s="326">
        <v>-6.4186473762774057</v>
      </c>
      <c r="F27" s="133">
        <v>0.82</v>
      </c>
      <c r="G27" s="134">
        <v>0.73</v>
      </c>
      <c r="H27" s="127" vm="907">
        <v>0</v>
      </c>
      <c r="I27" s="127" vm="502">
        <v>0</v>
      </c>
      <c r="J27" s="326" t="s">
        <v>145</v>
      </c>
      <c r="K27" s="133">
        <v>0</v>
      </c>
      <c r="L27" s="134">
        <v>0</v>
      </c>
      <c r="M27" s="127" vm="793">
        <v>8709</v>
      </c>
      <c r="N27" s="127" vm="555">
        <v>8150</v>
      </c>
      <c r="O27" s="326">
        <v>-6.4186473762774057</v>
      </c>
      <c r="P27" s="137">
        <v>0.35</v>
      </c>
      <c r="Q27" s="137">
        <v>0.31</v>
      </c>
      <c r="W27" s="8"/>
    </row>
    <row r="28" spans="1:23" ht="23.55" customHeight="1" x14ac:dyDescent="0.3">
      <c r="B28" s="105" t="s" vm="13">
        <v>1</v>
      </c>
      <c r="C28" s="127" vm="1629">
        <v>32557</v>
      </c>
      <c r="D28" s="127" vm="472">
        <v>36619</v>
      </c>
      <c r="E28" s="326">
        <v>12.476579537426673</v>
      </c>
      <c r="F28" s="133">
        <v>3.08</v>
      </c>
      <c r="G28" s="134">
        <v>3.26</v>
      </c>
      <c r="H28" s="127" vm="893">
        <v>49385</v>
      </c>
      <c r="I28" s="127" vm="522">
        <v>47707</v>
      </c>
      <c r="J28" s="326">
        <v>-3.3977928520805989</v>
      </c>
      <c r="K28" s="133">
        <v>3.43</v>
      </c>
      <c r="L28" s="134">
        <v>3.22</v>
      </c>
      <c r="M28" s="127" vm="1098">
        <v>81942</v>
      </c>
      <c r="N28" s="127" vm="405">
        <v>84326</v>
      </c>
      <c r="O28" s="326">
        <v>2.9093749237265314</v>
      </c>
      <c r="P28" s="137">
        <v>3.28</v>
      </c>
      <c r="Q28" s="137">
        <v>3.24</v>
      </c>
      <c r="W28" s="8"/>
    </row>
    <row r="29" spans="1:23" ht="23.55" customHeight="1" x14ac:dyDescent="0.3">
      <c r="A29" s="253"/>
      <c r="B29" s="105" t="s" vm="8">
        <v>8</v>
      </c>
      <c r="C29" s="127">
        <v>75429</v>
      </c>
      <c r="D29" s="127" vm="517">
        <v>88997</v>
      </c>
      <c r="E29" s="326">
        <v>17.987776584602727</v>
      </c>
      <c r="F29" s="133">
        <v>7.13</v>
      </c>
      <c r="G29" s="134">
        <v>7.92</v>
      </c>
      <c r="H29" s="127">
        <v>177071</v>
      </c>
      <c r="I29" s="127" vm="485">
        <v>190280</v>
      </c>
      <c r="J29" s="326">
        <v>7.4597195475261344</v>
      </c>
      <c r="K29" s="133">
        <v>12.29</v>
      </c>
      <c r="L29" s="134">
        <v>12.83</v>
      </c>
      <c r="M29" s="127">
        <v>252500</v>
      </c>
      <c r="N29" s="127" vm="634">
        <v>279277</v>
      </c>
      <c r="O29" s="326">
        <v>10.604752475247523</v>
      </c>
      <c r="P29" s="137">
        <v>10.1</v>
      </c>
      <c r="Q29" s="137">
        <v>10.72</v>
      </c>
      <c r="W29" s="8"/>
    </row>
    <row r="30" spans="1:23" ht="23.55" customHeight="1" x14ac:dyDescent="0.3">
      <c r="B30" s="105" t="s" vm="1">
        <v>12</v>
      </c>
      <c r="C30" s="127" vm="742">
        <v>12084</v>
      </c>
      <c r="D30" s="127" vm="539">
        <v>12117</v>
      </c>
      <c r="E30" s="326">
        <v>0.27308838133069457</v>
      </c>
      <c r="F30" s="133">
        <v>1.1399999999999999</v>
      </c>
      <c r="G30" s="134">
        <v>1.08</v>
      </c>
      <c r="H30" s="127">
        <v>0</v>
      </c>
      <c r="I30" s="127">
        <v>0</v>
      </c>
      <c r="J30" s="326" t="s">
        <v>145</v>
      </c>
      <c r="K30" s="133">
        <v>0</v>
      </c>
      <c r="L30" s="134">
        <v>0</v>
      </c>
      <c r="M30" s="127" vm="1312">
        <v>12084</v>
      </c>
      <c r="N30" s="127" vm="413">
        <v>12117</v>
      </c>
      <c r="O30" s="326">
        <v>0.27308838133069457</v>
      </c>
      <c r="P30" s="137">
        <v>0.48</v>
      </c>
      <c r="Q30" s="137">
        <v>0.46</v>
      </c>
      <c r="W30" s="8"/>
    </row>
    <row r="31" spans="1:23" ht="23.55" customHeight="1" x14ac:dyDescent="0.3">
      <c r="B31" s="105" t="s" vm="16">
        <v>25</v>
      </c>
      <c r="C31" s="127">
        <v>0</v>
      </c>
      <c r="D31" s="127">
        <v>0</v>
      </c>
      <c r="E31" s="326" t="s">
        <v>145</v>
      </c>
      <c r="F31" s="133">
        <v>0</v>
      </c>
      <c r="G31" s="134">
        <v>0</v>
      </c>
      <c r="H31" s="127" vm="931">
        <v>15013</v>
      </c>
      <c r="I31" s="127" vm="577">
        <v>17359</v>
      </c>
      <c r="J31" s="326">
        <v>15.626457070538862</v>
      </c>
      <c r="K31" s="133">
        <v>1.04</v>
      </c>
      <c r="L31" s="134">
        <v>1.17</v>
      </c>
      <c r="M31" s="127" vm="880">
        <v>15013</v>
      </c>
      <c r="N31" s="127" vm="609">
        <v>17359</v>
      </c>
      <c r="O31" s="326">
        <v>15.626457070538862</v>
      </c>
      <c r="P31" s="137">
        <v>0.6</v>
      </c>
      <c r="Q31" s="137">
        <v>0.67</v>
      </c>
      <c r="W31" s="8"/>
    </row>
    <row r="32" spans="1:23" ht="23.55" customHeight="1" x14ac:dyDescent="0.3">
      <c r="B32" s="105" t="s" vm="21">
        <v>110</v>
      </c>
      <c r="C32" s="127" vm="759">
        <v>54887</v>
      </c>
      <c r="D32" s="127" vm="604">
        <v>58738</v>
      </c>
      <c r="E32" s="326">
        <v>7.0162333521598867</v>
      </c>
      <c r="F32" s="133">
        <v>5.19</v>
      </c>
      <c r="G32" s="134">
        <v>5.23</v>
      </c>
      <c r="H32" s="127" vm="796">
        <v>112805</v>
      </c>
      <c r="I32" s="127" vm="444">
        <v>103140</v>
      </c>
      <c r="J32" s="326">
        <v>-8.5678826293160881</v>
      </c>
      <c r="K32" s="133">
        <v>7.83</v>
      </c>
      <c r="L32" s="134">
        <v>6.95</v>
      </c>
      <c r="M32" s="127" vm="719">
        <v>167692</v>
      </c>
      <c r="N32" s="127" vm="580">
        <v>161878</v>
      </c>
      <c r="O32" s="326">
        <v>-3.467070581780888</v>
      </c>
      <c r="P32" s="137">
        <v>6.71</v>
      </c>
      <c r="Q32" s="137">
        <v>6.21</v>
      </c>
      <c r="W32" s="8"/>
    </row>
    <row r="33" spans="2:25" ht="23.55" customHeight="1" x14ac:dyDescent="0.3">
      <c r="B33" s="251" t="s" vm="249">
        <v>106</v>
      </c>
      <c r="C33" s="246">
        <v>0</v>
      </c>
      <c r="D33" s="247">
        <v>0</v>
      </c>
      <c r="E33" s="327" t="s">
        <v>145</v>
      </c>
      <c r="F33" s="248">
        <v>0</v>
      </c>
      <c r="G33" s="249">
        <v>0</v>
      </c>
      <c r="H33" s="247" vm="1287">
        <v>13826</v>
      </c>
      <c r="I33" s="247" vm="443">
        <v>23238</v>
      </c>
      <c r="J33" s="327">
        <v>68.074641978880379</v>
      </c>
      <c r="K33" s="248">
        <v>0.96</v>
      </c>
      <c r="L33" s="249">
        <v>1.57</v>
      </c>
      <c r="M33" s="247" vm="962">
        <v>13826</v>
      </c>
      <c r="N33" s="247" vm="440">
        <v>23238</v>
      </c>
      <c r="O33" s="327">
        <v>68.074641978880379</v>
      </c>
      <c r="P33" s="250">
        <v>0.55000000000000004</v>
      </c>
      <c r="Q33" s="250">
        <v>0.89</v>
      </c>
      <c r="W33" s="8"/>
    </row>
    <row r="34" spans="2:25" ht="2.35" customHeight="1" x14ac:dyDescent="0.3">
      <c r="B34" s="106"/>
      <c r="C34" s="128"/>
      <c r="D34" s="128"/>
      <c r="E34" s="328" t="s">
        <v>145</v>
      </c>
      <c r="F34" s="135"/>
      <c r="G34" s="135"/>
      <c r="H34" s="128"/>
      <c r="I34" s="128"/>
      <c r="J34" s="328" t="s">
        <v>145</v>
      </c>
      <c r="K34" s="135"/>
      <c r="L34" s="135"/>
      <c r="M34" s="128"/>
      <c r="N34" s="128"/>
      <c r="O34" s="328" t="s">
        <v>145</v>
      </c>
      <c r="P34" s="138"/>
      <c r="Q34" s="138"/>
      <c r="W34" s="8"/>
    </row>
    <row r="35" spans="2:25" ht="23" customHeight="1" x14ac:dyDescent="0.3">
      <c r="B35" s="107" t="s" vm="248">
        <v>146</v>
      </c>
      <c r="C35" s="129" vm="1520">
        <v>1057776</v>
      </c>
      <c r="D35" s="129" vm="504">
        <v>1123041</v>
      </c>
      <c r="E35" s="329">
        <v>6.1700208739846545</v>
      </c>
      <c r="F35" s="125">
        <v>99.999999999999986</v>
      </c>
      <c r="G35" s="125">
        <v>100.00000000000001</v>
      </c>
      <c r="H35" s="129" vm="994">
        <v>1441035</v>
      </c>
      <c r="I35" s="129" vm="436">
        <v>1483373</v>
      </c>
      <c r="J35" s="329">
        <v>2.9380271818519361</v>
      </c>
      <c r="K35" s="125">
        <v>99.999999999999986</v>
      </c>
      <c r="L35" s="125">
        <v>99.999999999999986</v>
      </c>
      <c r="M35" s="129" vm="1296">
        <v>2498811</v>
      </c>
      <c r="N35" s="129" vm="486">
        <v>2606414</v>
      </c>
      <c r="O35" s="329">
        <v>4.3061680135072322</v>
      </c>
      <c r="P35" s="139">
        <v>100</v>
      </c>
      <c r="Q35" s="139">
        <v>100</v>
      </c>
      <c r="W35" s="8"/>
    </row>
    <row r="36" spans="2:25" ht="23.3" customHeight="1" x14ac:dyDescent="0.3">
      <c r="B36" s="252"/>
      <c r="E36" s="100"/>
      <c r="F36" s="100"/>
      <c r="G36" s="100"/>
      <c r="H36" s="8"/>
      <c r="I36" s="100"/>
      <c r="J36" s="100"/>
      <c r="K36" s="100"/>
      <c r="L36" s="100"/>
      <c r="M36" s="8"/>
      <c r="P36" s="8"/>
      <c r="Q36" s="8"/>
      <c r="W36" s="8"/>
    </row>
    <row r="37" spans="2:25" x14ac:dyDescent="0.3">
      <c r="B37" s="99"/>
      <c r="C37" s="100"/>
      <c r="D37" s="100"/>
      <c r="E37" s="100"/>
      <c r="F37" s="100"/>
      <c r="G37" s="100"/>
      <c r="H37" s="8"/>
      <c r="I37" s="100"/>
      <c r="J37" s="100"/>
      <c r="K37" s="100"/>
      <c r="L37" s="100"/>
      <c r="M37" s="8"/>
      <c r="P37" s="8"/>
      <c r="Q37" s="8"/>
      <c r="W37" s="8"/>
    </row>
    <row r="38" spans="2:25" x14ac:dyDescent="0.3">
      <c r="B38" s="99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W38" s="8"/>
    </row>
    <row r="39" spans="2:25" x14ac:dyDescent="0.3">
      <c r="B39" s="99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</row>
    <row r="40" spans="2:25" x14ac:dyDescent="0.3">
      <c r="B40" s="99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</row>
    <row r="41" spans="2:25" x14ac:dyDescent="0.3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</row>
    <row r="42" spans="2:25" x14ac:dyDescent="0.3"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</row>
    <row r="43" spans="2:25" x14ac:dyDescent="0.3">
      <c r="B43" s="99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2:25" x14ac:dyDescent="0.3">
      <c r="B44" s="99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</row>
    <row r="45" spans="2:25" x14ac:dyDescent="0.3">
      <c r="B45" s="99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</row>
    <row r="46" spans="2:25" x14ac:dyDescent="0.3">
      <c r="B46" s="99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</row>
    <row r="47" spans="2:25" x14ac:dyDescent="0.3">
      <c r="B47" s="99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</row>
    <row r="48" spans="2:25" x14ac:dyDescent="0.3">
      <c r="B48" s="9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</row>
    <row r="49" spans="1:26" x14ac:dyDescent="0.3">
      <c r="B49" s="99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R49" s="100"/>
      <c r="S49" s="100"/>
      <c r="T49" s="100"/>
      <c r="U49" s="100"/>
      <c r="V49" s="100"/>
      <c r="W49" s="100"/>
      <c r="X49" s="100"/>
      <c r="Y49" s="100"/>
    </row>
    <row r="50" spans="1:26" x14ac:dyDescent="0.3">
      <c r="B50" s="99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1:26" x14ac:dyDescent="0.3">
      <c r="B51" s="99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26" x14ac:dyDescent="0.3">
      <c r="B52" s="99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26" x14ac:dyDescent="0.3">
      <c r="B53" s="99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26" x14ac:dyDescent="0.3">
      <c r="B54" s="99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26" x14ac:dyDescent="0.3"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1:26" x14ac:dyDescent="0.3">
      <c r="B56" s="99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1:26" x14ac:dyDescent="0.3">
      <c r="B57" s="99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1:26" x14ac:dyDescent="0.3">
      <c r="B58" s="99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1:26" x14ac:dyDescent="0.3">
      <c r="B59" s="99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1:26" x14ac:dyDescent="0.3">
      <c r="B60" s="99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1:26" x14ac:dyDescent="0.3">
      <c r="B61" s="99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1:26" s="60" customFormat="1" x14ac:dyDescent="0.3">
      <c r="A62" s="8"/>
      <c r="B62" s="99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R62" s="8"/>
      <c r="S62" s="8"/>
      <c r="T62" s="8"/>
      <c r="U62" s="8"/>
      <c r="V62" s="8"/>
      <c r="W62" s="61"/>
      <c r="X62" s="8"/>
      <c r="Y62" s="8"/>
      <c r="Z62" s="8"/>
    </row>
    <row r="63" spans="1:26" s="60" customFormat="1" x14ac:dyDescent="0.3">
      <c r="A63" s="8"/>
      <c r="B63" s="99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R63" s="8"/>
      <c r="S63" s="8"/>
      <c r="T63" s="8"/>
      <c r="U63" s="8"/>
      <c r="V63" s="8"/>
      <c r="W63" s="61"/>
      <c r="X63" s="8"/>
      <c r="Y63" s="8"/>
      <c r="Z63" s="8"/>
    </row>
    <row r="64" spans="1:26" s="60" customFormat="1" x14ac:dyDescent="0.3">
      <c r="A64" s="8"/>
      <c r="B64" s="99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R64" s="8"/>
      <c r="S64" s="8"/>
      <c r="T64" s="8"/>
      <c r="U64" s="8"/>
      <c r="V64" s="8"/>
      <c r="W64" s="61"/>
      <c r="X64" s="8"/>
      <c r="Y64" s="8"/>
      <c r="Z64" s="8"/>
    </row>
    <row r="65" spans="1:26" s="60" customFormat="1" x14ac:dyDescent="0.3">
      <c r="A65" s="8"/>
      <c r="B65" s="99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R65" s="8"/>
      <c r="S65" s="8"/>
      <c r="T65" s="8"/>
      <c r="U65" s="8"/>
      <c r="V65" s="8"/>
      <c r="W65" s="61"/>
      <c r="X65" s="8"/>
      <c r="Y65" s="8"/>
      <c r="Z65" s="8"/>
    </row>
    <row r="66" spans="1:26" s="60" customFormat="1" x14ac:dyDescent="0.3">
      <c r="A66" s="8"/>
      <c r="B66" s="99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R66" s="8"/>
      <c r="S66" s="8"/>
      <c r="T66" s="8"/>
      <c r="U66" s="8"/>
      <c r="V66" s="8"/>
      <c r="W66" s="61"/>
      <c r="X66" s="8"/>
      <c r="Y66" s="8"/>
      <c r="Z66" s="8"/>
    </row>
    <row r="67" spans="1:26" s="60" customFormat="1" x14ac:dyDescent="0.3">
      <c r="A67" s="8"/>
      <c r="B67" s="99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R67" s="8"/>
      <c r="S67" s="8"/>
      <c r="T67" s="8"/>
      <c r="U67" s="8"/>
      <c r="V67" s="8"/>
      <c r="W67" s="61"/>
      <c r="X67" s="8"/>
      <c r="Y67" s="8"/>
      <c r="Z67" s="8"/>
    </row>
    <row r="68" spans="1:26" s="60" customFormat="1" x14ac:dyDescent="0.3">
      <c r="A68" s="8"/>
      <c r="B68" s="99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R68" s="8"/>
      <c r="S68" s="8"/>
      <c r="T68" s="8"/>
      <c r="U68" s="8"/>
      <c r="V68" s="8"/>
      <c r="W68" s="61"/>
      <c r="X68" s="8"/>
      <c r="Y68" s="8"/>
      <c r="Z68" s="8"/>
    </row>
    <row r="69" spans="1:26" s="60" customFormat="1" x14ac:dyDescent="0.3">
      <c r="A69" s="8"/>
      <c r="B69" s="99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R69" s="8"/>
      <c r="S69" s="8"/>
      <c r="T69" s="8"/>
      <c r="U69" s="8"/>
      <c r="V69" s="8"/>
      <c r="W69" s="61"/>
      <c r="X69" s="8"/>
      <c r="Y69" s="8"/>
      <c r="Z69" s="8"/>
    </row>
    <row r="70" spans="1:26" s="60" customFormat="1" x14ac:dyDescent="0.3">
      <c r="A70" s="8"/>
      <c r="B70" s="99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R70" s="8"/>
      <c r="S70" s="8"/>
      <c r="T70" s="8"/>
      <c r="U70" s="8"/>
      <c r="V70" s="8"/>
      <c r="W70" s="61"/>
      <c r="X70" s="8"/>
      <c r="Y70" s="8"/>
      <c r="Z70" s="8"/>
    </row>
    <row r="71" spans="1:26" s="60" customFormat="1" x14ac:dyDescent="0.3">
      <c r="A71" s="8"/>
      <c r="B71" s="99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R71" s="8"/>
      <c r="S71" s="8"/>
      <c r="T71" s="8"/>
      <c r="U71" s="8"/>
      <c r="V71" s="8"/>
      <c r="W71" s="61"/>
      <c r="X71" s="8"/>
      <c r="Y71" s="8"/>
      <c r="Z71" s="8"/>
    </row>
    <row r="72" spans="1:26" s="60" customFormat="1" x14ac:dyDescent="0.3">
      <c r="A72" s="8"/>
      <c r="B72" s="99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R72" s="8"/>
      <c r="S72" s="8"/>
      <c r="T72" s="8"/>
      <c r="U72" s="8"/>
      <c r="V72" s="8"/>
      <c r="W72" s="61"/>
      <c r="X72" s="8"/>
      <c r="Y72" s="8"/>
      <c r="Z72" s="8"/>
    </row>
    <row r="73" spans="1:26" s="60" customFormat="1" x14ac:dyDescent="0.3">
      <c r="A73" s="8"/>
      <c r="B73" s="99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R73" s="8"/>
      <c r="S73" s="8"/>
      <c r="T73" s="8"/>
      <c r="U73" s="8"/>
      <c r="V73" s="8"/>
      <c r="W73" s="61"/>
      <c r="X73" s="8"/>
      <c r="Y73" s="8"/>
      <c r="Z73" s="8"/>
    </row>
    <row r="74" spans="1:26" s="60" customFormat="1" x14ac:dyDescent="0.3">
      <c r="A74" s="8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R74" s="8"/>
      <c r="S74" s="8"/>
      <c r="T74" s="8"/>
      <c r="U74" s="8"/>
      <c r="V74" s="8"/>
      <c r="W74" s="61"/>
      <c r="X74" s="8"/>
      <c r="Y74" s="8"/>
      <c r="Z74" s="8"/>
    </row>
    <row r="75" spans="1:26" s="60" customFormat="1" x14ac:dyDescent="0.3">
      <c r="A75" s="8"/>
      <c r="B75" s="99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R75" s="8"/>
      <c r="S75" s="8"/>
      <c r="T75" s="8"/>
      <c r="U75" s="8"/>
      <c r="V75" s="8"/>
      <c r="W75" s="61"/>
      <c r="X75" s="8"/>
      <c r="Y75" s="8"/>
      <c r="Z75" s="8"/>
    </row>
    <row r="76" spans="1:26" s="60" customFormat="1" x14ac:dyDescent="0.3">
      <c r="A76" s="8"/>
      <c r="B76" s="99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R76" s="8"/>
      <c r="S76" s="8"/>
      <c r="T76" s="8"/>
      <c r="U76" s="8"/>
      <c r="V76" s="8"/>
      <c r="W76" s="61"/>
      <c r="X76" s="8"/>
      <c r="Y76" s="8"/>
      <c r="Z76" s="8"/>
    </row>
    <row r="77" spans="1:26" s="60" customFormat="1" x14ac:dyDescent="0.3">
      <c r="A77" s="8"/>
      <c r="B77" s="99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R77" s="8"/>
      <c r="S77" s="8"/>
      <c r="T77" s="8"/>
      <c r="U77" s="8"/>
      <c r="V77" s="8"/>
      <c r="W77" s="61"/>
      <c r="X77" s="8"/>
      <c r="Y77" s="8"/>
      <c r="Z77" s="8"/>
    </row>
    <row r="78" spans="1:26" s="60" customFormat="1" x14ac:dyDescent="0.3">
      <c r="A78" s="8"/>
      <c r="B78" s="99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R78" s="8"/>
      <c r="S78" s="8"/>
      <c r="T78" s="8"/>
      <c r="U78" s="8"/>
      <c r="V78" s="8"/>
      <c r="W78" s="61"/>
      <c r="X78" s="8"/>
      <c r="Y78" s="8"/>
      <c r="Z78" s="8"/>
    </row>
    <row r="79" spans="1:26" s="60" customFormat="1" x14ac:dyDescent="0.3">
      <c r="A79" s="8"/>
      <c r="B79" s="99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R79" s="8"/>
      <c r="S79" s="8"/>
      <c r="T79" s="8"/>
      <c r="U79" s="8"/>
      <c r="V79" s="8"/>
      <c r="W79" s="61"/>
      <c r="X79" s="8"/>
      <c r="Y79" s="8"/>
      <c r="Z79" s="8"/>
    </row>
    <row r="80" spans="1:26" s="60" customFormat="1" x14ac:dyDescent="0.3">
      <c r="A80" s="8"/>
      <c r="B80" s="99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R80" s="8"/>
      <c r="S80" s="8"/>
      <c r="T80" s="8"/>
      <c r="U80" s="8"/>
      <c r="V80" s="8"/>
      <c r="W80" s="61"/>
      <c r="X80" s="8"/>
      <c r="Y80" s="8"/>
      <c r="Z80" s="8"/>
    </row>
    <row r="81" spans="1:26" s="60" customFormat="1" x14ac:dyDescent="0.3">
      <c r="A81" s="8"/>
      <c r="B81" s="99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R81" s="8"/>
      <c r="S81" s="8"/>
      <c r="T81" s="8"/>
      <c r="U81" s="8"/>
      <c r="V81" s="8"/>
      <c r="W81" s="61"/>
      <c r="X81" s="8"/>
      <c r="Y81" s="8"/>
      <c r="Z81" s="8"/>
    </row>
    <row r="82" spans="1:26" s="60" customFormat="1" x14ac:dyDescent="0.3">
      <c r="A82" s="8"/>
      <c r="B82" s="99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R82" s="8"/>
      <c r="S82" s="8"/>
      <c r="T82" s="8"/>
      <c r="U82" s="8"/>
      <c r="V82" s="8"/>
      <c r="W82" s="61"/>
      <c r="X82" s="8"/>
      <c r="Y82" s="8"/>
      <c r="Z82" s="8"/>
    </row>
    <row r="83" spans="1:26" s="60" customFormat="1" x14ac:dyDescent="0.3">
      <c r="A83" s="8"/>
      <c r="B83" s="99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R83" s="8"/>
      <c r="S83" s="8"/>
      <c r="T83" s="8"/>
      <c r="U83" s="8"/>
      <c r="V83" s="8"/>
      <c r="W83" s="61"/>
      <c r="X83" s="8"/>
      <c r="Y83" s="8"/>
      <c r="Z83" s="8"/>
    </row>
    <row r="84" spans="1:26" s="60" customFormat="1" x14ac:dyDescent="0.3">
      <c r="A84" s="8"/>
      <c r="B84" s="99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R84" s="8"/>
      <c r="S84" s="8"/>
      <c r="T84" s="8"/>
      <c r="U84" s="8"/>
      <c r="V84" s="8"/>
      <c r="W84" s="61"/>
      <c r="X84" s="8"/>
      <c r="Y84" s="8"/>
      <c r="Z84" s="8"/>
    </row>
    <row r="85" spans="1:26" s="60" customFormat="1" x14ac:dyDescent="0.3">
      <c r="A85" s="8"/>
      <c r="B85" s="99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R85" s="8"/>
      <c r="S85" s="8"/>
      <c r="T85" s="8"/>
      <c r="U85" s="8"/>
      <c r="V85" s="8"/>
      <c r="W85" s="61"/>
      <c r="X85" s="8"/>
      <c r="Y85" s="8"/>
      <c r="Z85" s="8"/>
    </row>
    <row r="86" spans="1:26" s="60" customFormat="1" x14ac:dyDescent="0.3">
      <c r="A86" s="8"/>
      <c r="B86" s="99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R86" s="8"/>
      <c r="S86" s="8"/>
      <c r="T86" s="8"/>
      <c r="U86" s="8"/>
      <c r="V86" s="8"/>
      <c r="W86" s="61"/>
      <c r="X86" s="8"/>
      <c r="Y86" s="8"/>
      <c r="Z86" s="8"/>
    </row>
    <row r="87" spans="1:26" s="60" customFormat="1" x14ac:dyDescent="0.3">
      <c r="A87" s="8"/>
      <c r="B87" s="99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R87" s="8"/>
      <c r="S87" s="8"/>
      <c r="T87" s="8"/>
      <c r="U87" s="8"/>
      <c r="V87" s="8"/>
      <c r="W87" s="61"/>
      <c r="X87" s="8"/>
      <c r="Y87" s="8"/>
      <c r="Z87" s="8"/>
    </row>
    <row r="88" spans="1:26" s="60" customFormat="1" x14ac:dyDescent="0.3">
      <c r="A88" s="8"/>
      <c r="B88" s="99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R88" s="8"/>
      <c r="S88" s="8"/>
      <c r="T88" s="8"/>
      <c r="U88" s="8"/>
      <c r="V88" s="8"/>
      <c r="W88" s="61"/>
      <c r="X88" s="8"/>
      <c r="Y88" s="8"/>
      <c r="Z88" s="8"/>
    </row>
    <row r="89" spans="1:26" s="60" customFormat="1" x14ac:dyDescent="0.3">
      <c r="A89" s="8"/>
      <c r="B89" s="99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R89" s="8"/>
      <c r="S89" s="8"/>
      <c r="T89" s="8"/>
      <c r="U89" s="8"/>
      <c r="V89" s="8"/>
      <c r="W89" s="61"/>
      <c r="X89" s="8"/>
      <c r="Y89" s="8"/>
      <c r="Z89" s="8"/>
    </row>
    <row r="90" spans="1:26" s="60" customFormat="1" x14ac:dyDescent="0.3">
      <c r="A90" s="8"/>
      <c r="B90" s="99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R90" s="8"/>
      <c r="S90" s="8"/>
      <c r="T90" s="8"/>
      <c r="U90" s="8"/>
      <c r="V90" s="8"/>
      <c r="W90" s="61"/>
      <c r="X90" s="8"/>
      <c r="Y90" s="8"/>
      <c r="Z90" s="8"/>
    </row>
    <row r="91" spans="1:26" s="60" customFormat="1" x14ac:dyDescent="0.3">
      <c r="A91" s="8"/>
      <c r="B91" s="99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R91" s="8"/>
      <c r="S91" s="8"/>
      <c r="T91" s="8"/>
      <c r="U91" s="8"/>
      <c r="V91" s="8"/>
      <c r="W91" s="61"/>
      <c r="X91" s="8"/>
      <c r="Y91" s="8"/>
      <c r="Z91" s="8"/>
    </row>
    <row r="92" spans="1:26" s="60" customFormat="1" x14ac:dyDescent="0.3">
      <c r="A92" s="8"/>
      <c r="B92" s="99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R92" s="8"/>
      <c r="S92" s="8"/>
      <c r="T92" s="8"/>
      <c r="U92" s="8"/>
      <c r="V92" s="8"/>
      <c r="W92" s="61"/>
      <c r="X92" s="8"/>
      <c r="Y92" s="8"/>
      <c r="Z92" s="8"/>
    </row>
    <row r="93" spans="1:26" s="60" customFormat="1" x14ac:dyDescent="0.3">
      <c r="A93" s="8"/>
      <c r="B93" s="99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R93" s="8"/>
      <c r="S93" s="8"/>
      <c r="T93" s="8"/>
      <c r="U93" s="8"/>
      <c r="V93" s="8"/>
      <c r="W93" s="61"/>
      <c r="X93" s="8"/>
      <c r="Y93" s="8"/>
      <c r="Z93" s="8"/>
    </row>
    <row r="94" spans="1:26" s="60" customFormat="1" x14ac:dyDescent="0.3">
      <c r="A94" s="8"/>
      <c r="B94" s="99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R94" s="8"/>
      <c r="S94" s="8"/>
      <c r="T94" s="8"/>
      <c r="U94" s="8"/>
      <c r="V94" s="8"/>
      <c r="W94" s="61"/>
      <c r="X94" s="8"/>
      <c r="Y94" s="8"/>
      <c r="Z94" s="8"/>
    </row>
    <row r="95" spans="1:26" s="60" customFormat="1" x14ac:dyDescent="0.3">
      <c r="A95" s="8"/>
      <c r="B95" s="99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R95" s="8"/>
      <c r="S95" s="8"/>
      <c r="T95" s="8"/>
      <c r="U95" s="8"/>
      <c r="V95" s="8"/>
      <c r="W95" s="61"/>
      <c r="X95" s="8"/>
      <c r="Y95" s="8"/>
      <c r="Z95" s="8"/>
    </row>
    <row r="96" spans="1:26" s="60" customFormat="1" x14ac:dyDescent="0.3">
      <c r="A96" s="8"/>
      <c r="B96" s="99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R96" s="8"/>
      <c r="S96" s="8"/>
      <c r="T96" s="8"/>
      <c r="U96" s="8"/>
      <c r="V96" s="8"/>
      <c r="W96" s="61"/>
      <c r="X96" s="8"/>
      <c r="Y96" s="8"/>
      <c r="Z96" s="8"/>
    </row>
    <row r="97" spans="1:26" s="60" customFormat="1" x14ac:dyDescent="0.3">
      <c r="A97" s="8"/>
      <c r="B97" s="99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R97" s="8"/>
      <c r="S97" s="8"/>
      <c r="T97" s="8"/>
      <c r="U97" s="8"/>
      <c r="V97" s="8"/>
      <c r="W97" s="61"/>
      <c r="X97" s="8"/>
      <c r="Y97" s="8"/>
      <c r="Z97" s="8"/>
    </row>
    <row r="98" spans="1:26" s="60" customFormat="1" x14ac:dyDescent="0.3">
      <c r="A98" s="8"/>
      <c r="B98" s="99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R98" s="8"/>
      <c r="S98" s="8"/>
      <c r="T98" s="8"/>
      <c r="U98" s="8"/>
      <c r="V98" s="8"/>
      <c r="W98" s="61"/>
      <c r="X98" s="8"/>
      <c r="Y98" s="8"/>
      <c r="Z98" s="8"/>
    </row>
    <row r="99" spans="1:26" s="60" customFormat="1" x14ac:dyDescent="0.3">
      <c r="A99" s="8"/>
      <c r="B99" s="99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R99" s="8"/>
      <c r="S99" s="8"/>
      <c r="T99" s="8"/>
      <c r="U99" s="8"/>
      <c r="V99" s="8"/>
      <c r="W99" s="61"/>
      <c r="X99" s="8"/>
      <c r="Y99" s="8"/>
      <c r="Z99" s="8"/>
    </row>
    <row r="100" spans="1:26" s="60" customFormat="1" x14ac:dyDescent="0.3">
      <c r="A100" s="8"/>
      <c r="B100" s="99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R100" s="8"/>
      <c r="S100" s="8"/>
      <c r="T100" s="8"/>
      <c r="U100" s="8"/>
      <c r="V100" s="8"/>
      <c r="W100" s="61"/>
      <c r="X100" s="8"/>
      <c r="Y100" s="8"/>
      <c r="Z100" s="8"/>
    </row>
    <row r="101" spans="1:26" s="60" customFormat="1" x14ac:dyDescent="0.3">
      <c r="A101" s="8"/>
      <c r="B101" s="99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R101" s="8"/>
      <c r="S101" s="8"/>
      <c r="T101" s="8"/>
      <c r="U101" s="8"/>
      <c r="V101" s="8"/>
      <c r="W101" s="61"/>
      <c r="X101" s="8"/>
      <c r="Y101" s="8"/>
      <c r="Z101" s="8"/>
    </row>
    <row r="102" spans="1:26" s="60" customFormat="1" x14ac:dyDescent="0.3">
      <c r="A102" s="8"/>
      <c r="B102" s="99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R102" s="8"/>
      <c r="S102" s="8"/>
      <c r="T102" s="8"/>
      <c r="U102" s="8"/>
      <c r="V102" s="8"/>
      <c r="W102" s="61"/>
      <c r="X102" s="8"/>
      <c r="Y102" s="8"/>
      <c r="Z102" s="8"/>
    </row>
    <row r="103" spans="1:26" s="60" customFormat="1" x14ac:dyDescent="0.3">
      <c r="A103" s="8"/>
      <c r="B103" s="99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R103" s="8"/>
      <c r="S103" s="8"/>
      <c r="T103" s="8"/>
      <c r="U103" s="8"/>
      <c r="V103" s="8"/>
      <c r="W103" s="61"/>
      <c r="X103" s="8"/>
      <c r="Y103" s="8"/>
      <c r="Z103" s="8"/>
    </row>
    <row r="104" spans="1:26" s="60" customFormat="1" x14ac:dyDescent="0.3">
      <c r="A104" s="8"/>
      <c r="B104" s="99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R104" s="8"/>
      <c r="S104" s="8"/>
      <c r="T104" s="8"/>
      <c r="U104" s="8"/>
      <c r="V104" s="8"/>
      <c r="W104" s="61"/>
      <c r="X104" s="8"/>
      <c r="Y104" s="8"/>
      <c r="Z104" s="8"/>
    </row>
    <row r="105" spans="1:26" s="60" customFormat="1" x14ac:dyDescent="0.3">
      <c r="A105" s="8"/>
      <c r="B105" s="99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R105" s="8"/>
      <c r="S105" s="8"/>
      <c r="T105" s="8"/>
      <c r="U105" s="8"/>
      <c r="V105" s="8"/>
      <c r="W105" s="61"/>
      <c r="X105" s="8"/>
      <c r="Y105" s="8"/>
      <c r="Z105" s="8"/>
    </row>
    <row r="106" spans="1:26" s="60" customFormat="1" x14ac:dyDescent="0.3">
      <c r="A106" s="8"/>
      <c r="B106" s="99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R106" s="8"/>
      <c r="S106" s="8"/>
      <c r="T106" s="8"/>
      <c r="U106" s="8"/>
      <c r="V106" s="8"/>
      <c r="W106" s="61"/>
      <c r="X106" s="8"/>
      <c r="Y106" s="8"/>
      <c r="Z106" s="8"/>
    </row>
    <row r="107" spans="1:26" s="60" customFormat="1" x14ac:dyDescent="0.3">
      <c r="A107" s="8"/>
      <c r="B107" s="99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R107" s="8"/>
      <c r="S107" s="8"/>
      <c r="T107" s="8"/>
      <c r="U107" s="8"/>
      <c r="V107" s="8"/>
      <c r="W107" s="61"/>
      <c r="X107" s="8"/>
      <c r="Y107" s="8"/>
      <c r="Z107" s="8"/>
    </row>
    <row r="108" spans="1:26" s="60" customFormat="1" x14ac:dyDescent="0.3">
      <c r="A108" s="8"/>
      <c r="B108" s="99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R108" s="8"/>
      <c r="S108" s="8"/>
      <c r="T108" s="8"/>
      <c r="U108" s="8"/>
      <c r="V108" s="8"/>
      <c r="W108" s="61"/>
      <c r="X108" s="8"/>
      <c r="Y108" s="8"/>
      <c r="Z108" s="8"/>
    </row>
    <row r="109" spans="1:26" s="60" customFormat="1" x14ac:dyDescent="0.3">
      <c r="A109" s="8"/>
      <c r="B109" s="99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R109" s="8"/>
      <c r="S109" s="8"/>
      <c r="T109" s="8"/>
      <c r="U109" s="8"/>
      <c r="V109" s="8"/>
      <c r="W109" s="61"/>
      <c r="X109" s="8"/>
      <c r="Y109" s="8"/>
      <c r="Z109" s="8"/>
    </row>
    <row r="110" spans="1:26" s="60" customFormat="1" x14ac:dyDescent="0.3">
      <c r="A110" s="8"/>
      <c r="B110" s="99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R110" s="8"/>
      <c r="S110" s="8"/>
      <c r="T110" s="8"/>
      <c r="U110" s="8"/>
      <c r="V110" s="8"/>
      <c r="W110" s="61"/>
      <c r="X110" s="8"/>
      <c r="Y110" s="8"/>
      <c r="Z110" s="8"/>
    </row>
    <row r="111" spans="1:26" s="60" customFormat="1" x14ac:dyDescent="0.3">
      <c r="A111" s="8"/>
      <c r="B111" s="99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R111" s="8"/>
      <c r="S111" s="8"/>
      <c r="T111" s="8"/>
      <c r="U111" s="8"/>
      <c r="V111" s="8"/>
      <c r="W111" s="61"/>
      <c r="X111" s="8"/>
      <c r="Y111" s="8"/>
      <c r="Z111" s="8"/>
    </row>
    <row r="112" spans="1:26" s="60" customFormat="1" x14ac:dyDescent="0.3">
      <c r="A112" s="8"/>
      <c r="B112" s="99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R112" s="8"/>
      <c r="S112" s="8"/>
      <c r="T112" s="8"/>
      <c r="U112" s="8"/>
      <c r="V112" s="8"/>
      <c r="W112" s="61"/>
      <c r="X112" s="8"/>
      <c r="Y112" s="8"/>
      <c r="Z112" s="8"/>
    </row>
    <row r="113" spans="1:26" s="60" customFormat="1" x14ac:dyDescent="0.3">
      <c r="A113" s="8"/>
      <c r="B113" s="99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R113" s="8"/>
      <c r="S113" s="8"/>
      <c r="T113" s="8"/>
      <c r="U113" s="8"/>
      <c r="V113" s="8"/>
      <c r="W113" s="61"/>
      <c r="X113" s="8"/>
      <c r="Y113" s="8"/>
      <c r="Z113" s="8"/>
    </row>
    <row r="114" spans="1:26" s="60" customFormat="1" x14ac:dyDescent="0.3">
      <c r="A114" s="8"/>
      <c r="B114" s="99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R114" s="8"/>
      <c r="S114" s="8"/>
      <c r="T114" s="8"/>
      <c r="U114" s="8"/>
      <c r="V114" s="8"/>
      <c r="W114" s="61"/>
      <c r="X114" s="8"/>
      <c r="Y114" s="8"/>
      <c r="Z114" s="8"/>
    </row>
    <row r="115" spans="1:26" s="60" customFormat="1" x14ac:dyDescent="0.3">
      <c r="A115" s="8"/>
      <c r="B115" s="99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R115" s="8"/>
      <c r="S115" s="8"/>
      <c r="T115" s="8"/>
      <c r="U115" s="8"/>
      <c r="V115" s="8"/>
      <c r="W115" s="61"/>
      <c r="X115" s="8"/>
      <c r="Y115" s="8"/>
      <c r="Z115" s="8"/>
    </row>
    <row r="116" spans="1:26" s="60" customFormat="1" x14ac:dyDescent="0.3">
      <c r="A116" s="8"/>
      <c r="B116" s="99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R116" s="8"/>
      <c r="S116" s="8"/>
      <c r="T116" s="8"/>
      <c r="U116" s="8"/>
      <c r="V116" s="8"/>
      <c r="W116" s="61"/>
      <c r="X116" s="8"/>
      <c r="Y116" s="8"/>
      <c r="Z116" s="8"/>
    </row>
    <row r="117" spans="1:26" s="60" customFormat="1" x14ac:dyDescent="0.3">
      <c r="A117" s="8"/>
      <c r="B117" s="99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R117" s="8"/>
      <c r="S117" s="8"/>
      <c r="T117" s="8"/>
      <c r="U117" s="8"/>
      <c r="V117" s="8"/>
      <c r="W117" s="61"/>
      <c r="X117" s="8"/>
      <c r="Y117" s="8"/>
      <c r="Z117" s="8"/>
    </row>
    <row r="118" spans="1:26" s="60" customFormat="1" x14ac:dyDescent="0.3">
      <c r="A118" s="8"/>
      <c r="B118" s="99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R118" s="8"/>
      <c r="S118" s="8"/>
      <c r="T118" s="8"/>
      <c r="U118" s="8"/>
      <c r="V118" s="8"/>
      <c r="W118" s="61"/>
      <c r="X118" s="8"/>
      <c r="Y118" s="8"/>
      <c r="Z118" s="8"/>
    </row>
    <row r="119" spans="1:26" s="60" customFormat="1" x14ac:dyDescent="0.3">
      <c r="A119" s="8"/>
      <c r="B119" s="99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R119" s="8"/>
      <c r="S119" s="8"/>
      <c r="T119" s="8"/>
      <c r="U119" s="8"/>
      <c r="V119" s="8"/>
      <c r="W119" s="61"/>
      <c r="X119" s="8"/>
      <c r="Y119" s="8"/>
      <c r="Z119" s="8"/>
    </row>
    <row r="120" spans="1:26" s="60" customFormat="1" x14ac:dyDescent="0.3">
      <c r="A120" s="8"/>
      <c r="B120" s="99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R120" s="8"/>
      <c r="S120" s="8"/>
      <c r="T120" s="8"/>
      <c r="U120" s="8"/>
      <c r="V120" s="8"/>
      <c r="W120" s="61"/>
      <c r="X120" s="8"/>
      <c r="Y120" s="8"/>
      <c r="Z120" s="8"/>
    </row>
    <row r="121" spans="1:26" s="60" customFormat="1" x14ac:dyDescent="0.3">
      <c r="A121" s="8"/>
      <c r="B121" s="99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R121" s="8"/>
      <c r="S121" s="8"/>
      <c r="T121" s="8"/>
      <c r="U121" s="8"/>
      <c r="V121" s="8"/>
      <c r="W121" s="61"/>
      <c r="X121" s="8"/>
      <c r="Y121" s="8"/>
      <c r="Z121" s="8"/>
    </row>
    <row r="122" spans="1:26" s="60" customFormat="1" x14ac:dyDescent="0.3">
      <c r="A122" s="8"/>
      <c r="B122" s="99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R122" s="8"/>
      <c r="S122" s="8"/>
      <c r="T122" s="8"/>
      <c r="U122" s="8"/>
      <c r="V122" s="8"/>
      <c r="W122" s="61"/>
      <c r="X122" s="8"/>
      <c r="Y122" s="8"/>
      <c r="Z122" s="8"/>
    </row>
    <row r="123" spans="1:26" s="60" customFormat="1" x14ac:dyDescent="0.3">
      <c r="A123" s="8"/>
      <c r="B123" s="99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R123" s="8"/>
      <c r="S123" s="8"/>
      <c r="T123" s="8"/>
      <c r="U123" s="8"/>
      <c r="V123" s="8"/>
      <c r="W123" s="61"/>
      <c r="X123" s="8"/>
      <c r="Y123" s="8"/>
      <c r="Z123" s="8"/>
    </row>
    <row r="124" spans="1:26" s="60" customFormat="1" x14ac:dyDescent="0.3">
      <c r="A124" s="8"/>
      <c r="B124" s="99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R124" s="8"/>
      <c r="S124" s="8"/>
      <c r="T124" s="8"/>
      <c r="U124" s="8"/>
      <c r="V124" s="8"/>
      <c r="W124" s="61"/>
      <c r="X124" s="8"/>
      <c r="Y124" s="8"/>
      <c r="Z124" s="8"/>
    </row>
    <row r="125" spans="1:26" s="60" customFormat="1" x14ac:dyDescent="0.3">
      <c r="A125" s="8"/>
      <c r="B125" s="99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R125" s="8"/>
      <c r="S125" s="8"/>
      <c r="T125" s="8"/>
      <c r="U125" s="8"/>
      <c r="V125" s="8"/>
      <c r="W125" s="61"/>
      <c r="X125" s="8"/>
      <c r="Y125" s="8"/>
      <c r="Z125" s="8"/>
    </row>
    <row r="126" spans="1:26" s="60" customFormat="1" x14ac:dyDescent="0.3">
      <c r="A126" s="8"/>
      <c r="B126" s="99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R126" s="8"/>
      <c r="S126" s="8"/>
      <c r="T126" s="8"/>
      <c r="U126" s="8"/>
      <c r="V126" s="8"/>
      <c r="W126" s="61"/>
      <c r="X126" s="8"/>
      <c r="Y126" s="8"/>
      <c r="Z126" s="8"/>
    </row>
    <row r="127" spans="1:26" s="60" customFormat="1" x14ac:dyDescent="0.3">
      <c r="A127" s="8"/>
      <c r="B127" s="99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R127" s="8"/>
      <c r="S127" s="8"/>
      <c r="T127" s="8"/>
      <c r="U127" s="8"/>
      <c r="V127" s="8"/>
      <c r="W127" s="61"/>
      <c r="X127" s="8"/>
      <c r="Y127" s="8"/>
      <c r="Z127" s="8"/>
    </row>
    <row r="128" spans="1:26" s="60" customFormat="1" x14ac:dyDescent="0.3">
      <c r="A128" s="8"/>
      <c r="B128" s="99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R128" s="8"/>
      <c r="S128" s="8"/>
      <c r="T128" s="8"/>
      <c r="U128" s="8"/>
      <c r="V128" s="8"/>
      <c r="W128" s="61"/>
      <c r="X128" s="8"/>
      <c r="Y128" s="8"/>
      <c r="Z128" s="8"/>
    </row>
    <row r="129" spans="1:26" s="60" customFormat="1" x14ac:dyDescent="0.3">
      <c r="A129" s="8"/>
      <c r="B129" s="99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R129" s="8"/>
      <c r="S129" s="8"/>
      <c r="T129" s="8"/>
      <c r="U129" s="8"/>
      <c r="V129" s="8"/>
      <c r="W129" s="61"/>
      <c r="X129" s="8"/>
      <c r="Y129" s="8"/>
      <c r="Z129" s="8"/>
    </row>
    <row r="130" spans="1:26" s="60" customFormat="1" x14ac:dyDescent="0.3">
      <c r="A130" s="8"/>
      <c r="B130" s="99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  <c r="O130" s="100"/>
      <c r="R130" s="8"/>
      <c r="S130" s="8"/>
      <c r="T130" s="8"/>
      <c r="U130" s="8"/>
      <c r="V130" s="8"/>
      <c r="W130" s="61"/>
      <c r="X130" s="8"/>
      <c r="Y130" s="8"/>
      <c r="Z130" s="8"/>
    </row>
    <row r="131" spans="1:26" s="60" customFormat="1" x14ac:dyDescent="0.3">
      <c r="A131" s="8"/>
      <c r="B131" s="99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  <c r="O131" s="100"/>
      <c r="R131" s="8"/>
      <c r="S131" s="8"/>
      <c r="T131" s="8"/>
      <c r="U131" s="8"/>
      <c r="V131" s="8"/>
      <c r="W131" s="61"/>
      <c r="X131" s="8"/>
      <c r="Y131" s="8"/>
      <c r="Z131" s="8"/>
    </row>
    <row r="132" spans="1:26" s="60" customFormat="1" x14ac:dyDescent="0.3">
      <c r="A132" s="8"/>
      <c r="B132" s="99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R132" s="8"/>
      <c r="S132" s="8"/>
      <c r="T132" s="8"/>
      <c r="U132" s="8"/>
      <c r="V132" s="8"/>
      <c r="W132" s="61"/>
      <c r="X132" s="8"/>
      <c r="Y132" s="8"/>
      <c r="Z132" s="8"/>
    </row>
    <row r="133" spans="1:26" s="60" customFormat="1" x14ac:dyDescent="0.3">
      <c r="A133" s="8"/>
      <c r="B133" s="55"/>
      <c r="M133" s="61"/>
      <c r="N133" s="8"/>
      <c r="O133" s="8"/>
      <c r="R133" s="8"/>
      <c r="S133" s="8"/>
      <c r="T133" s="8"/>
      <c r="U133" s="8"/>
      <c r="V133" s="8"/>
      <c r="W133" s="61"/>
      <c r="X133" s="8"/>
      <c r="Y133" s="8"/>
      <c r="Z133" s="8"/>
    </row>
  </sheetData>
  <sortState ref="B9:Q35">
    <sortCondition ref="B9"/>
  </sortState>
  <mergeCells count="15">
    <mergeCell ref="B5:B7"/>
    <mergeCell ref="A1:R1"/>
    <mergeCell ref="A2:R2"/>
    <mergeCell ref="F6:G6"/>
    <mergeCell ref="E6:E7"/>
    <mergeCell ref="C6:D6"/>
    <mergeCell ref="M5:Q5"/>
    <mergeCell ref="H5:L5"/>
    <mergeCell ref="C5:G5"/>
    <mergeCell ref="J6:J7"/>
    <mergeCell ref="K6:L6"/>
    <mergeCell ref="M6:N6"/>
    <mergeCell ref="O6:O7"/>
    <mergeCell ref="P6:Q6"/>
    <mergeCell ref="H6:I6"/>
  </mergeCells>
  <conditionalFormatting sqref="V50:V1048576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{53F73DE2-9566-4C1F-B9A6-F8A78FAC77BD}</x14:id>
        </ext>
      </extLst>
    </cfRule>
  </conditionalFormatting>
  <conditionalFormatting sqref="U50:U1048576">
    <cfRule type="dataBar" priority="1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{AC09DB02-084A-419D-B4AE-F1488BEEAFED}</x14:id>
        </ext>
      </extLst>
    </cfRule>
  </conditionalFormatting>
  <conditionalFormatting sqref="N2:N5 N7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{C9250057-23BD-4888-A20C-F7D77F125F4B}</x14:id>
        </ext>
      </extLst>
    </cfRule>
  </conditionalFormatting>
  <conditionalFormatting sqref="M2:M5 M7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{071A77A7-CB84-409A-9B7D-8055EA43D501}</x14:id>
        </ext>
      </extLst>
    </cfRule>
  </conditionalFormatting>
  <conditionalFormatting sqref="M1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{3C35320B-4813-472B-A046-26F06173A324}</x14:id>
        </ext>
      </extLst>
    </cfRule>
  </conditionalFormatting>
  <conditionalFormatting sqref="N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{B601EA45-63FD-4ECF-917F-0C9301AD20F6}</x14:id>
        </ext>
      </extLst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69" orientation="landscape" r:id="rId1"/>
  <customProperties>
    <customPr name="Version" r:id="rId2"/>
  </customPropertie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3F73DE2-9566-4C1F-B9A6-F8A78FAC77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V50:V1048576</xm:sqref>
        </x14:conditionalFormatting>
        <x14:conditionalFormatting xmlns:xm="http://schemas.microsoft.com/office/excel/2006/main">
          <x14:cfRule type="dataBar" id="{AC09DB02-084A-419D-B4AE-F1488BEEAFE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U50:U1048576</xm:sqref>
        </x14:conditionalFormatting>
        <x14:conditionalFormatting xmlns:xm="http://schemas.microsoft.com/office/excel/2006/main">
          <x14:cfRule type="dataBar" id="{C9250057-23BD-4888-A20C-F7D77F125F4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N2:N5 N7</xm:sqref>
        </x14:conditionalFormatting>
        <x14:conditionalFormatting xmlns:xm="http://schemas.microsoft.com/office/excel/2006/main">
          <x14:cfRule type="dataBar" id="{071A77A7-CB84-409A-9B7D-8055EA43D50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M2:M5 M7</xm:sqref>
        </x14:conditionalFormatting>
        <x14:conditionalFormatting xmlns:xm="http://schemas.microsoft.com/office/excel/2006/main">
          <x14:cfRule type="dataBar" id="{3C35320B-4813-472B-A046-26F06173A32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M1</xm:sqref>
        </x14:conditionalFormatting>
        <x14:conditionalFormatting xmlns:xm="http://schemas.microsoft.com/office/excel/2006/main">
          <x14:cfRule type="dataBar" id="{B601EA45-63FD-4ECF-917F-0C9301AD20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N1</xm:sqref>
        </x14:conditionalFormatting>
        <x14:conditionalFormatting xmlns:xm="http://schemas.microsoft.com/office/excel/2006/main">
          <x14:cfRule type="iconSet" priority="12" id="{097FC54F-E567-41C6-96F5-B936FF754DA0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W50:W1048576</xm:sqref>
        </x14:conditionalFormatting>
        <x14:conditionalFormatting xmlns:xm="http://schemas.microsoft.com/office/excel/2006/main">
          <x14:cfRule type="iconSet" priority="4" id="{26A9C6A1-758B-4401-B5E1-281E613C52FA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O2:O7</xm:sqref>
        </x14:conditionalFormatting>
        <x14:conditionalFormatting xmlns:xm="http://schemas.microsoft.com/office/excel/2006/main">
          <x14:cfRule type="iconSet" priority="1" id="{FD702804-7976-4CE6-828A-A383B19F6024}">
            <x14:iconSet iconSet="3Triangles">
              <x14:cfvo type="percent">
                <xm:f>0</xm:f>
              </x14:cfvo>
              <x14:cfvo type="num">
                <xm:f>95</xm:f>
              </x14:cfvo>
              <x14:cfvo type="num">
                <xm:f>100</xm:f>
              </x14:cfvo>
            </x14:iconSet>
          </x14:cfRule>
          <xm:sqref>O1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131"/>
  <sheetViews>
    <sheetView showGridLines="0" topLeftCell="A16" zoomScale="86" zoomScaleNormal="86" workbookViewId="0">
      <selection activeCell="A3" sqref="A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4.59765625" style="8" customWidth="1"/>
    <col min="5" max="5" width="13.296875" style="8" customWidth="1"/>
    <col min="6" max="6" width="19.59765625" style="8" bestFit="1" customWidth="1"/>
    <col min="7" max="7" width="10.59765625" style="8" bestFit="1" customWidth="1"/>
    <col min="8" max="8" width="14.796875" style="8" bestFit="1" customWidth="1"/>
    <col min="9" max="9" width="10.59765625" style="8" customWidth="1"/>
    <col min="10" max="10" width="1.59765625" style="8" customWidth="1"/>
    <col min="11" max="11" width="7.296875" style="8" customWidth="1"/>
    <col min="12" max="16384" width="9.296875" style="8"/>
  </cols>
  <sheetData>
    <row r="1" spans="1:11" s="18" customFormat="1" ht="58.85" customHeight="1" x14ac:dyDescent="0.3">
      <c r="A1" s="52" t="s">
        <v>141</v>
      </c>
      <c r="B1" s="346" t="s">
        <v>302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1" s="18" customFormat="1" ht="13.3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14.95" thickBot="1" x14ac:dyDescent="0.35"/>
    <row r="5" spans="1:11" s="53" customFormat="1" ht="10.55" customHeight="1" x14ac:dyDescent="0.3">
      <c r="B5" s="362"/>
      <c r="C5" s="364" t="s">
        <v>40</v>
      </c>
      <c r="D5" s="4" t="s">
        <v>37</v>
      </c>
      <c r="E5" s="4" t="s">
        <v>38</v>
      </c>
      <c r="F5" s="4" t="s">
        <v>37</v>
      </c>
      <c r="G5" s="4" t="s">
        <v>38</v>
      </c>
      <c r="H5" s="366" t="s">
        <v>295</v>
      </c>
      <c r="I5" s="366"/>
      <c r="J5" s="65"/>
    </row>
    <row r="6" spans="1:11" s="54" customFormat="1" ht="14.95" thickBot="1" x14ac:dyDescent="0.35">
      <c r="B6" s="363"/>
      <c r="C6" s="365"/>
      <c r="D6" s="20" t="s">
        <v>143</v>
      </c>
      <c r="E6" s="20">
        <v>2014</v>
      </c>
      <c r="F6" s="20" t="s">
        <v>144</v>
      </c>
      <c r="G6" s="20">
        <v>2015</v>
      </c>
      <c r="H6" s="255" t="s">
        <v>118</v>
      </c>
      <c r="I6" s="255" t="s">
        <v>117</v>
      </c>
      <c r="J6" s="59"/>
    </row>
    <row r="7" spans="1:11" s="55" customFormat="1" ht="3.75" customHeight="1" x14ac:dyDescent="0.3">
      <c r="B7" s="50"/>
      <c r="C7" s="51"/>
      <c r="D7" s="90"/>
      <c r="E7" s="90"/>
      <c r="F7" s="90"/>
      <c r="G7" s="90"/>
      <c r="H7" s="254"/>
      <c r="I7" s="254"/>
      <c r="J7" s="49"/>
    </row>
    <row r="8" spans="1:11" ht="21.75" customHeight="1" x14ac:dyDescent="0.3">
      <c r="C8" s="66" t="s" vm="48">
        <v>284</v>
      </c>
      <c r="D8" s="140" vm="1047">
        <v>88536206.079999983</v>
      </c>
      <c r="E8" s="152">
        <v>5.46</v>
      </c>
      <c r="F8" s="140" vm="454">
        <v>106147328.32999998</v>
      </c>
      <c r="G8" s="152">
        <v>6.39</v>
      </c>
      <c r="H8" s="259">
        <v>17611122.25</v>
      </c>
      <c r="I8" s="330">
        <v>19.891435413537877</v>
      </c>
    </row>
    <row r="9" spans="1:11" ht="21.75" customHeight="1" x14ac:dyDescent="0.3">
      <c r="C9" s="66" t="s" vm="45">
        <v>290</v>
      </c>
      <c r="D9" s="144" vm="1076">
        <v>54633802.020000003</v>
      </c>
      <c r="E9" s="152">
        <v>3.37</v>
      </c>
      <c r="F9" s="144" vm="481">
        <v>67599191.74000001</v>
      </c>
      <c r="G9" s="152">
        <v>4.07</v>
      </c>
      <c r="H9" s="259">
        <v>12965389.720000006</v>
      </c>
      <c r="I9" s="330">
        <v>23.7314432469</v>
      </c>
    </row>
    <row r="10" spans="1:11" ht="21.75" customHeight="1" x14ac:dyDescent="0.3">
      <c r="C10" s="66" t="s" vm="36">
        <v>261</v>
      </c>
      <c r="D10" s="144" vm="1261">
        <v>107768275.47999999</v>
      </c>
      <c r="E10" s="152">
        <v>6.65</v>
      </c>
      <c r="F10" s="144" vm="637">
        <v>115655912.07000001</v>
      </c>
      <c r="G10" s="152">
        <v>6.96</v>
      </c>
      <c r="H10" s="259">
        <v>7887636.5900000185</v>
      </c>
      <c r="I10" s="330">
        <v>7.3190709927095696</v>
      </c>
    </row>
    <row r="11" spans="1:11" ht="21.75" customHeight="1" x14ac:dyDescent="0.3">
      <c r="C11" s="66" t="s" vm="51">
        <v>263</v>
      </c>
      <c r="D11" s="144" vm="687">
        <v>78365.64</v>
      </c>
      <c r="E11" s="152">
        <v>0</v>
      </c>
      <c r="F11" s="144" vm="477">
        <v>68166.91</v>
      </c>
      <c r="G11" s="152">
        <v>0</v>
      </c>
      <c r="H11" s="259">
        <v>-10198.729999999996</v>
      </c>
      <c r="I11" s="330">
        <v>-13.014287894541525</v>
      </c>
    </row>
    <row r="12" spans="1:11" ht="21.75" customHeight="1" x14ac:dyDescent="0.3">
      <c r="C12" s="66" t="s" vm="38">
        <v>266</v>
      </c>
      <c r="D12" s="144" vm="802">
        <v>3756897.74</v>
      </c>
      <c r="E12" s="152">
        <v>0.23</v>
      </c>
      <c r="F12" s="144" vm="632">
        <v>2900719.61</v>
      </c>
      <c r="G12" s="152">
        <v>0.17</v>
      </c>
      <c r="H12" s="259">
        <v>-856178.13000000035</v>
      </c>
      <c r="I12" s="330">
        <v>-22.789497858411238</v>
      </c>
    </row>
    <row r="13" spans="1:11" ht="21.75" customHeight="1" x14ac:dyDescent="0.3">
      <c r="C13" s="66" t="s" vm="44">
        <v>273</v>
      </c>
      <c r="D13" s="144" vm="926">
        <v>65195389.57</v>
      </c>
      <c r="E13" s="152">
        <v>4.0199999999999996</v>
      </c>
      <c r="F13" s="144" vm="469">
        <v>67782460.120000005</v>
      </c>
      <c r="G13" s="152">
        <v>4.08</v>
      </c>
      <c r="H13" s="259">
        <v>2587070.5500000045</v>
      </c>
      <c r="I13" s="330">
        <v>3.968180214986333</v>
      </c>
    </row>
    <row r="14" spans="1:11" ht="21.75" customHeight="1" x14ac:dyDescent="0.3">
      <c r="C14" s="66" t="s" vm="35">
        <v>237</v>
      </c>
      <c r="D14" s="144" vm="1082">
        <v>11316073.659999998</v>
      </c>
      <c r="E14" s="152">
        <v>0.7</v>
      </c>
      <c r="F14" s="144" vm="452">
        <v>10638328.770000001</v>
      </c>
      <c r="G14" s="152">
        <v>0.64</v>
      </c>
      <c r="H14" s="259">
        <v>-677744.88999999687</v>
      </c>
      <c r="I14" s="330">
        <v>-5.9892230323286668</v>
      </c>
    </row>
    <row r="15" spans="1:11" ht="21.75" customHeight="1" x14ac:dyDescent="0.3">
      <c r="C15" s="66" t="s" vm="50">
        <v>241</v>
      </c>
      <c r="D15" s="144" vm="1023">
        <v>164184641.84000003</v>
      </c>
      <c r="E15" s="152">
        <v>10.130000000000001</v>
      </c>
      <c r="F15" s="144" vm="421">
        <v>169690895.12999997</v>
      </c>
      <c r="G15" s="152">
        <v>10.210000000000001</v>
      </c>
      <c r="H15" s="259">
        <v>5506253.2899999321</v>
      </c>
      <c r="I15" s="330">
        <v>3.3536957100809985</v>
      </c>
    </row>
    <row r="16" spans="1:11" ht="21.75" customHeight="1" x14ac:dyDescent="0.3">
      <c r="C16" s="66" t="s" vm="47">
        <v>255</v>
      </c>
      <c r="D16" s="144" vm="797">
        <v>140909586.76999998</v>
      </c>
      <c r="E16" s="152">
        <v>8.6999999999999993</v>
      </c>
      <c r="F16" s="144" vm="417">
        <v>148794516.10000002</v>
      </c>
      <c r="G16" s="152">
        <v>8.9499999999999993</v>
      </c>
      <c r="H16" s="259">
        <v>7884929.3300000429</v>
      </c>
      <c r="I16" s="330">
        <v>5.5957366072403829</v>
      </c>
    </row>
    <row r="17" spans="3:9" ht="21.75" customHeight="1" x14ac:dyDescent="0.3">
      <c r="C17" s="66" t="s" vm="43">
        <v>222</v>
      </c>
      <c r="D17" s="144" vm="1202">
        <v>400748925.56000006</v>
      </c>
      <c r="E17" s="152">
        <v>24.73</v>
      </c>
      <c r="F17" s="144" vm="533">
        <v>318829247.48000002</v>
      </c>
      <c r="G17" s="152">
        <v>19.18</v>
      </c>
      <c r="H17" s="259">
        <v>-81919678.080000043</v>
      </c>
      <c r="I17" s="330">
        <v>-20.441646341416089</v>
      </c>
    </row>
    <row r="18" spans="3:9" ht="21.75" customHeight="1" x14ac:dyDescent="0.3">
      <c r="C18" s="66" t="s" vm="34">
        <v>225</v>
      </c>
      <c r="D18" s="144" vm="902">
        <v>1962824.76</v>
      </c>
      <c r="E18" s="152">
        <v>0.12</v>
      </c>
      <c r="F18" s="144" vm="617">
        <v>1428592.1800000002</v>
      </c>
      <c r="G18" s="152">
        <v>0.09</v>
      </c>
      <c r="H18" s="259">
        <v>-534232.57999999984</v>
      </c>
      <c r="I18" s="330">
        <v>-27.217538258484154</v>
      </c>
    </row>
    <row r="19" spans="3:9" ht="21.75" customHeight="1" x14ac:dyDescent="0.3">
      <c r="C19" s="66" t="s" vm="39">
        <v>230</v>
      </c>
      <c r="D19" s="144" vm="710">
        <v>15799670.999999998</v>
      </c>
      <c r="E19" s="152">
        <v>0.97</v>
      </c>
      <c r="F19" s="144" vm="600">
        <v>16747215.480000002</v>
      </c>
      <c r="G19" s="152">
        <v>1.01</v>
      </c>
      <c r="H19" s="259">
        <v>947544.48000000417</v>
      </c>
      <c r="I19" s="330">
        <v>5.9972418413016584</v>
      </c>
    </row>
    <row r="20" spans="3:9" ht="21.75" customHeight="1" x14ac:dyDescent="0.3">
      <c r="C20" s="66" t="s" vm="37">
        <v>217</v>
      </c>
      <c r="D20" s="144" vm="727">
        <v>66338790.769999996</v>
      </c>
      <c r="E20" s="152">
        <v>4.09</v>
      </c>
      <c r="F20" s="144" vm="569">
        <v>75056729.280000001</v>
      </c>
      <c r="G20" s="152">
        <v>4.5199999999999996</v>
      </c>
      <c r="H20" s="259">
        <v>8717938.5100000054</v>
      </c>
      <c r="I20" s="330">
        <v>13.14153967657559</v>
      </c>
    </row>
    <row r="21" spans="3:9" ht="21.75" customHeight="1" x14ac:dyDescent="0.3">
      <c r="C21" s="66" t="s" vm="42">
        <v>177</v>
      </c>
      <c r="D21" s="144" vm="844">
        <v>21237769.379999999</v>
      </c>
      <c r="E21" s="152">
        <v>1.31</v>
      </c>
      <c r="F21" s="144" vm="474">
        <v>23472090.839999996</v>
      </c>
      <c r="G21" s="152">
        <v>1.41</v>
      </c>
      <c r="H21" s="259">
        <v>2234321.4599999972</v>
      </c>
      <c r="I21" s="330">
        <v>10.520509098776159</v>
      </c>
    </row>
    <row r="22" spans="3:9" ht="21.75" customHeight="1" x14ac:dyDescent="0.3">
      <c r="C22" s="66" t="s" vm="33">
        <v>180</v>
      </c>
      <c r="D22" s="144" vm="1087">
        <v>1271507.6000000001</v>
      </c>
      <c r="E22" s="152">
        <v>0.08</v>
      </c>
      <c r="F22" s="144" vm="578">
        <v>834661.49</v>
      </c>
      <c r="G22" s="152">
        <v>0.05</v>
      </c>
      <c r="H22" s="259">
        <v>-436846.1100000001</v>
      </c>
      <c r="I22" s="330">
        <v>-34.356547298655556</v>
      </c>
    </row>
    <row r="23" spans="3:9" ht="21.75" customHeight="1" x14ac:dyDescent="0.3">
      <c r="C23" s="66" t="s" vm="49">
        <v>187</v>
      </c>
      <c r="D23" s="144" vm="1619">
        <v>31755961.909999993</v>
      </c>
      <c r="E23" s="152">
        <v>1.96</v>
      </c>
      <c r="F23" s="144" vm="480">
        <v>31912428.469999999</v>
      </c>
      <c r="G23" s="152">
        <v>1.92</v>
      </c>
      <c r="H23" s="259">
        <v>156466.56000000611</v>
      </c>
      <c r="I23" s="330">
        <v>0.49271554249703797</v>
      </c>
    </row>
    <row r="24" spans="3:9" ht="21.75" customHeight="1" x14ac:dyDescent="0.3">
      <c r="C24" s="66" t="s" vm="46">
        <v>189</v>
      </c>
      <c r="D24" s="144" vm="1786">
        <v>353517.74</v>
      </c>
      <c r="E24" s="152">
        <v>0.02</v>
      </c>
      <c r="F24" s="144" vm="631">
        <v>382494.64</v>
      </c>
      <c r="G24" s="152">
        <v>0.02</v>
      </c>
      <c r="H24" s="259">
        <v>28976.900000000023</v>
      </c>
      <c r="I24" s="330">
        <v>8.1967315133888405</v>
      </c>
    </row>
    <row r="25" spans="3:9" ht="21.75" customHeight="1" thickBot="1" x14ac:dyDescent="0.35">
      <c r="C25" s="83" t="s" vm="41">
        <v>194</v>
      </c>
      <c r="D25" s="145" vm="696">
        <v>12803746.050000001</v>
      </c>
      <c r="E25" s="153">
        <v>0.79</v>
      </c>
      <c r="F25" s="145" vm="423">
        <v>15059905.010000002</v>
      </c>
      <c r="G25" s="153">
        <v>0.91</v>
      </c>
      <c r="H25" s="260">
        <v>2256158.9600000009</v>
      </c>
      <c r="I25" s="331">
        <v>17.621084885544107</v>
      </c>
    </row>
    <row r="26" spans="3:9" ht="21.75" customHeight="1" x14ac:dyDescent="0.3">
      <c r="C26" s="84" t="s" vm="199">
        <v>153</v>
      </c>
      <c r="D26" s="146" vm="925">
        <v>392116404.52000004</v>
      </c>
      <c r="E26" s="154">
        <v>24.2</v>
      </c>
      <c r="F26" s="146" vm="532">
        <v>434009041.28000003</v>
      </c>
      <c r="G26" s="154">
        <v>26.11</v>
      </c>
      <c r="H26" s="261">
        <v>41892636.75999999</v>
      </c>
      <c r="I26" s="332">
        <v>10.683724597363351</v>
      </c>
    </row>
    <row r="27" spans="3:9" ht="21.75" customHeight="1" x14ac:dyDescent="0.3">
      <c r="C27" s="66" t="s" vm="182">
        <v>157</v>
      </c>
      <c r="D27" s="144" vm="829">
        <v>2412273.7999999998</v>
      </c>
      <c r="E27" s="152">
        <v>0.15</v>
      </c>
      <c r="F27" s="144" vm="585">
        <v>4708110.6999999993</v>
      </c>
      <c r="G27" s="152">
        <v>0.28000000000000003</v>
      </c>
      <c r="H27" s="259">
        <v>2295836.8999999994</v>
      </c>
      <c r="I27" s="330">
        <v>95.173147426299607</v>
      </c>
    </row>
    <row r="28" spans="3:9" ht="21.75" customHeight="1" x14ac:dyDescent="0.3">
      <c r="C28" s="66" t="s" vm="180">
        <v>161</v>
      </c>
      <c r="D28" s="144" vm="1185">
        <v>24417680.169999998</v>
      </c>
      <c r="E28" s="152">
        <v>1.51</v>
      </c>
      <c r="F28" s="144" vm="489">
        <v>24587079.490000002</v>
      </c>
      <c r="G28" s="152">
        <v>1.48</v>
      </c>
      <c r="H28" s="259">
        <v>169399.32000000402</v>
      </c>
      <c r="I28" s="330">
        <v>0.69375681399958466</v>
      </c>
    </row>
    <row r="29" spans="3:9" ht="21.75" customHeight="1" x14ac:dyDescent="0.3">
      <c r="C29" s="66" t="s" vm="178">
        <v>163</v>
      </c>
      <c r="D29" s="144" vm="1217">
        <v>1069843.6400000001</v>
      </c>
      <c r="E29" s="152">
        <v>7.0000000000000007E-2</v>
      </c>
      <c r="F29" s="144" vm="567">
        <v>966273.46</v>
      </c>
      <c r="G29" s="152">
        <v>0.06</v>
      </c>
      <c r="H29" s="259">
        <v>-103570.18000000017</v>
      </c>
      <c r="I29" s="330">
        <v>-9.6808707485516408</v>
      </c>
    </row>
    <row r="30" spans="3:9" ht="21.75" customHeight="1" x14ac:dyDescent="0.3">
      <c r="C30" s="66" t="s" vm="177">
        <v>169</v>
      </c>
      <c r="D30" s="144" vm="1748">
        <v>11840017.5</v>
      </c>
      <c r="E30" s="152">
        <v>0.73</v>
      </c>
      <c r="F30" s="144" vm="457">
        <v>24845491.599999998</v>
      </c>
      <c r="G30" s="152">
        <v>1.49</v>
      </c>
      <c r="H30" s="259">
        <v>13005474.099999998</v>
      </c>
      <c r="I30" s="330">
        <v>109.84336889704761</v>
      </c>
    </row>
    <row r="31" spans="3:9" ht="21.75" customHeight="1" x14ac:dyDescent="0.3">
      <c r="C31" s="66" t="s" vm="174">
        <v>171</v>
      </c>
      <c r="D31" s="144" vm="1163">
        <v>0</v>
      </c>
      <c r="E31" s="152">
        <v>0</v>
      </c>
      <c r="F31" s="144" vm="547">
        <v>0</v>
      </c>
      <c r="G31" s="152">
        <v>0</v>
      </c>
      <c r="H31" s="259">
        <v>0</v>
      </c>
      <c r="I31" s="330" t="s">
        <v>145</v>
      </c>
    </row>
    <row r="32" spans="3:9" ht="21.75" customHeight="1" x14ac:dyDescent="0.3">
      <c r="C32" s="66" t="s" vm="173">
        <v>296</v>
      </c>
      <c r="D32" s="144" vm="980">
        <v>0</v>
      </c>
      <c r="E32" s="152">
        <v>0</v>
      </c>
      <c r="F32" s="144" vm="588">
        <v>0</v>
      </c>
      <c r="G32" s="152">
        <v>0</v>
      </c>
      <c r="H32" s="259">
        <v>0</v>
      </c>
      <c r="I32" s="330" t="s">
        <v>145</v>
      </c>
    </row>
    <row r="33" spans="3:9" ht="21.75" customHeight="1" x14ac:dyDescent="0.3">
      <c r="C33" s="47" t="s" vm="40">
        <v>297</v>
      </c>
      <c r="D33" s="147" vm="1210">
        <v>1188651953.5699999</v>
      </c>
      <c r="E33" s="155">
        <v>73.349999999999994</v>
      </c>
      <c r="F33" s="147" vm="404">
        <v>1173000883.6500003</v>
      </c>
      <c r="G33" s="155">
        <v>70.569999999999993</v>
      </c>
      <c r="H33" s="158">
        <v>-15651069.919999599</v>
      </c>
      <c r="I33" s="333">
        <v>-1.3167075419337948</v>
      </c>
    </row>
    <row r="34" spans="3:9" ht="21.75" customHeight="1" thickBot="1" x14ac:dyDescent="0.35">
      <c r="C34" s="47" t="s" vm="32">
        <v>298</v>
      </c>
      <c r="D34" s="147" vm="918">
        <v>431856219.63000005</v>
      </c>
      <c r="E34" s="155">
        <v>26.65</v>
      </c>
      <c r="F34" s="147" vm="576">
        <v>489115996.53000003</v>
      </c>
      <c r="G34" s="155">
        <v>29.43</v>
      </c>
      <c r="H34" s="158">
        <v>57259776.899999976</v>
      </c>
      <c r="I34" s="333">
        <v>13.258990908839579</v>
      </c>
    </row>
    <row r="35" spans="3:9" ht="21.75" customHeight="1" x14ac:dyDescent="0.3">
      <c r="C35" s="85" t="s" vm="31">
        <v>299</v>
      </c>
      <c r="D35" s="148" vm="1206">
        <v>1620508173.1999998</v>
      </c>
      <c r="E35" s="156">
        <v>100</v>
      </c>
      <c r="F35" s="148" vm="607">
        <v>1662116880.1800003</v>
      </c>
      <c r="G35" s="156">
        <v>100</v>
      </c>
      <c r="H35" s="159">
        <v>41608706.980000496</v>
      </c>
      <c r="I35" s="334">
        <v>2.5676332688798595</v>
      </c>
    </row>
    <row r="36" spans="3:9" x14ac:dyDescent="0.3">
      <c r="D36" s="86"/>
    </row>
    <row r="37" spans="3:9" x14ac:dyDescent="0.3">
      <c r="D37" s="86"/>
    </row>
    <row r="38" spans="3:9" x14ac:dyDescent="0.3">
      <c r="D38" s="86"/>
    </row>
    <row r="39" spans="3:9" x14ac:dyDescent="0.3">
      <c r="D39" s="86"/>
    </row>
    <row r="40" spans="3:9" x14ac:dyDescent="0.3">
      <c r="D40" s="86"/>
    </row>
    <row r="41" spans="3:9" x14ac:dyDescent="0.3">
      <c r="D41" s="86"/>
    </row>
    <row r="42" spans="3:9" x14ac:dyDescent="0.3">
      <c r="D42" s="86"/>
    </row>
    <row r="43" spans="3:9" x14ac:dyDescent="0.3">
      <c r="D43" s="86"/>
    </row>
    <row r="44" spans="3:9" x14ac:dyDescent="0.3">
      <c r="D44" s="86"/>
    </row>
    <row r="45" spans="3:9" x14ac:dyDescent="0.3">
      <c r="D45" s="86"/>
    </row>
    <row r="46" spans="3:9" x14ac:dyDescent="0.3">
      <c r="D46" s="86"/>
    </row>
    <row r="47" spans="3:9" x14ac:dyDescent="0.3">
      <c r="D47" s="86"/>
    </row>
    <row r="48" spans="3:9" x14ac:dyDescent="0.3">
      <c r="D48" s="86"/>
    </row>
    <row r="49" spans="4:4" x14ac:dyDescent="0.3">
      <c r="D49" s="86"/>
    </row>
    <row r="50" spans="4:4" x14ac:dyDescent="0.3">
      <c r="D50" s="86"/>
    </row>
    <row r="51" spans="4:4" x14ac:dyDescent="0.3">
      <c r="D51" s="86"/>
    </row>
    <row r="52" spans="4:4" x14ac:dyDescent="0.3">
      <c r="D52" s="86"/>
    </row>
    <row r="53" spans="4:4" x14ac:dyDescent="0.3">
      <c r="D53" s="86"/>
    </row>
    <row r="54" spans="4:4" x14ac:dyDescent="0.3">
      <c r="D54" s="86"/>
    </row>
    <row r="55" spans="4:4" x14ac:dyDescent="0.3">
      <c r="D55" s="86"/>
    </row>
    <row r="56" spans="4:4" x14ac:dyDescent="0.3">
      <c r="D56" s="86"/>
    </row>
    <row r="57" spans="4:4" x14ac:dyDescent="0.3">
      <c r="D57" s="86"/>
    </row>
    <row r="58" spans="4:4" x14ac:dyDescent="0.3">
      <c r="D58" s="86"/>
    </row>
    <row r="59" spans="4:4" x14ac:dyDescent="0.3">
      <c r="D59" s="86"/>
    </row>
    <row r="60" spans="4:4" x14ac:dyDescent="0.3">
      <c r="D60" s="86"/>
    </row>
    <row r="61" spans="4:4" x14ac:dyDescent="0.3">
      <c r="D61" s="86"/>
    </row>
    <row r="62" spans="4:4" x14ac:dyDescent="0.3">
      <c r="D62" s="86"/>
    </row>
    <row r="63" spans="4:4" x14ac:dyDescent="0.3">
      <c r="D63" s="86"/>
    </row>
    <row r="64" spans="4:4" x14ac:dyDescent="0.3">
      <c r="D64" s="86"/>
    </row>
    <row r="65" spans="4:4" x14ac:dyDescent="0.3">
      <c r="D65" s="86"/>
    </row>
    <row r="66" spans="4:4" x14ac:dyDescent="0.3">
      <c r="D66" s="86"/>
    </row>
    <row r="67" spans="4:4" x14ac:dyDescent="0.3">
      <c r="D67" s="86"/>
    </row>
    <row r="68" spans="4:4" x14ac:dyDescent="0.3">
      <c r="D68" s="86"/>
    </row>
    <row r="69" spans="4:4" x14ac:dyDescent="0.3">
      <c r="D69" s="86"/>
    </row>
    <row r="70" spans="4:4" x14ac:dyDescent="0.3">
      <c r="D70" s="86"/>
    </row>
    <row r="71" spans="4:4" x14ac:dyDescent="0.3">
      <c r="D71" s="86"/>
    </row>
    <row r="72" spans="4:4" x14ac:dyDescent="0.3">
      <c r="D72" s="86"/>
    </row>
    <row r="73" spans="4:4" x14ac:dyDescent="0.3">
      <c r="D73" s="86"/>
    </row>
    <row r="74" spans="4:4" x14ac:dyDescent="0.3">
      <c r="D74" s="86"/>
    </row>
    <row r="75" spans="4:4" x14ac:dyDescent="0.3">
      <c r="D75" s="86"/>
    </row>
    <row r="76" spans="4:4" x14ac:dyDescent="0.3">
      <c r="D76" s="86"/>
    </row>
    <row r="77" spans="4:4" x14ac:dyDescent="0.3">
      <c r="D77" s="86"/>
    </row>
    <row r="78" spans="4:4" x14ac:dyDescent="0.3">
      <c r="D78" s="86"/>
    </row>
    <row r="79" spans="4:4" x14ac:dyDescent="0.3">
      <c r="D79" s="86"/>
    </row>
    <row r="80" spans="4:4" x14ac:dyDescent="0.3">
      <c r="D80" s="86"/>
    </row>
    <row r="81" spans="4:4" x14ac:dyDescent="0.3">
      <c r="D81" s="86"/>
    </row>
    <row r="82" spans="4:4" x14ac:dyDescent="0.3">
      <c r="D82" s="86"/>
    </row>
    <row r="83" spans="4:4" x14ac:dyDescent="0.3">
      <c r="D83" s="86"/>
    </row>
    <row r="84" spans="4:4" x14ac:dyDescent="0.3">
      <c r="D84" s="86"/>
    </row>
    <row r="85" spans="4:4" x14ac:dyDescent="0.3">
      <c r="D85" s="86"/>
    </row>
    <row r="86" spans="4:4" x14ac:dyDescent="0.3">
      <c r="D86" s="86"/>
    </row>
    <row r="87" spans="4:4" x14ac:dyDescent="0.3">
      <c r="D87" s="86"/>
    </row>
    <row r="88" spans="4:4" x14ac:dyDescent="0.3">
      <c r="D88" s="86"/>
    </row>
    <row r="89" spans="4:4" x14ac:dyDescent="0.3">
      <c r="D89" s="86"/>
    </row>
    <row r="90" spans="4:4" x14ac:dyDescent="0.3">
      <c r="D90" s="86"/>
    </row>
    <row r="91" spans="4:4" x14ac:dyDescent="0.3">
      <c r="D91" s="86"/>
    </row>
    <row r="92" spans="4:4" x14ac:dyDescent="0.3">
      <c r="D92" s="86"/>
    </row>
    <row r="93" spans="4:4" x14ac:dyDescent="0.3">
      <c r="D93" s="86"/>
    </row>
    <row r="94" spans="4:4" x14ac:dyDescent="0.3">
      <c r="D94" s="86"/>
    </row>
    <row r="95" spans="4:4" x14ac:dyDescent="0.3">
      <c r="D95" s="86"/>
    </row>
    <row r="96" spans="4:4" x14ac:dyDescent="0.3">
      <c r="D96" s="86"/>
    </row>
    <row r="97" spans="4:4" x14ac:dyDescent="0.3">
      <c r="D97" s="86"/>
    </row>
    <row r="98" spans="4:4" x14ac:dyDescent="0.3">
      <c r="D98" s="86"/>
    </row>
    <row r="99" spans="4:4" x14ac:dyDescent="0.3">
      <c r="D99" s="86"/>
    </row>
    <row r="100" spans="4:4" x14ac:dyDescent="0.3">
      <c r="D100" s="86"/>
    </row>
    <row r="101" spans="4:4" x14ac:dyDescent="0.3">
      <c r="D101" s="86"/>
    </row>
    <row r="102" spans="4:4" x14ac:dyDescent="0.3">
      <c r="D102" s="86"/>
    </row>
    <row r="103" spans="4:4" x14ac:dyDescent="0.3">
      <c r="D103" s="86"/>
    </row>
    <row r="104" spans="4:4" x14ac:dyDescent="0.3">
      <c r="D104" s="86"/>
    </row>
    <row r="105" spans="4:4" x14ac:dyDescent="0.3">
      <c r="D105" s="86"/>
    </row>
    <row r="106" spans="4:4" x14ac:dyDescent="0.3">
      <c r="D106" s="86"/>
    </row>
    <row r="107" spans="4:4" x14ac:dyDescent="0.3">
      <c r="D107" s="86"/>
    </row>
    <row r="108" spans="4:4" x14ac:dyDescent="0.3">
      <c r="D108" s="86"/>
    </row>
    <row r="109" spans="4:4" x14ac:dyDescent="0.3">
      <c r="D109" s="86"/>
    </row>
    <row r="110" spans="4:4" x14ac:dyDescent="0.3">
      <c r="D110" s="86"/>
    </row>
    <row r="111" spans="4:4" x14ac:dyDescent="0.3">
      <c r="D111" s="86"/>
    </row>
    <row r="112" spans="4:4" x14ac:dyDescent="0.3">
      <c r="D112" s="86"/>
    </row>
    <row r="113" spans="4:4" x14ac:dyDescent="0.3">
      <c r="D113" s="86"/>
    </row>
    <row r="114" spans="4:4" x14ac:dyDescent="0.3">
      <c r="D114" s="86"/>
    </row>
    <row r="115" spans="4:4" x14ac:dyDescent="0.3">
      <c r="D115" s="86"/>
    </row>
    <row r="116" spans="4:4" x14ac:dyDescent="0.3">
      <c r="D116" s="86"/>
    </row>
    <row r="117" spans="4:4" x14ac:dyDescent="0.3">
      <c r="D117" s="86"/>
    </row>
    <row r="118" spans="4:4" x14ac:dyDescent="0.3">
      <c r="D118" s="86"/>
    </row>
    <row r="119" spans="4:4" x14ac:dyDescent="0.3">
      <c r="D119" s="86"/>
    </row>
    <row r="120" spans="4:4" x14ac:dyDescent="0.3">
      <c r="D120" s="86"/>
    </row>
    <row r="121" spans="4:4" x14ac:dyDescent="0.3">
      <c r="D121" s="86"/>
    </row>
    <row r="122" spans="4:4" x14ac:dyDescent="0.3">
      <c r="D122" s="86"/>
    </row>
    <row r="123" spans="4:4" x14ac:dyDescent="0.3">
      <c r="D123" s="86"/>
    </row>
    <row r="124" spans="4:4" x14ac:dyDescent="0.3">
      <c r="D124" s="86"/>
    </row>
    <row r="125" spans="4:4" x14ac:dyDescent="0.3">
      <c r="D125" s="86"/>
    </row>
    <row r="126" spans="4:4" x14ac:dyDescent="0.3">
      <c r="D126" s="86"/>
    </row>
    <row r="127" spans="4:4" x14ac:dyDescent="0.3">
      <c r="D127" s="86"/>
    </row>
    <row r="128" spans="4:4" x14ac:dyDescent="0.3">
      <c r="D128" s="86"/>
    </row>
    <row r="129" spans="4:4" x14ac:dyDescent="0.3">
      <c r="D129" s="86"/>
    </row>
    <row r="130" spans="4:4" x14ac:dyDescent="0.3">
      <c r="D130" s="86"/>
    </row>
    <row r="131" spans="4:4" x14ac:dyDescent="0.3">
      <c r="D131" s="86"/>
    </row>
  </sheetData>
  <mergeCells count="4">
    <mergeCell ref="B5:B6"/>
    <mergeCell ref="C5:C6"/>
    <mergeCell ref="B1:K1"/>
    <mergeCell ref="H5:I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6" orientation="landscape" r:id="rId1"/>
  <customProperties>
    <customPr name="Version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31"/>
  <sheetViews>
    <sheetView showGridLines="0" topLeftCell="A28" zoomScale="86" zoomScaleNormal="86" workbookViewId="0">
      <selection activeCell="A3" sqref="A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3.296875" style="8" bestFit="1" customWidth="1"/>
    <col min="5" max="5" width="13.296875" style="8" customWidth="1"/>
    <col min="6" max="6" width="19.69921875" style="8" bestFit="1" customWidth="1"/>
    <col min="7" max="7" width="10.59765625" style="8" bestFit="1" customWidth="1"/>
    <col min="8" max="8" width="14.796875" style="8" bestFit="1" customWidth="1"/>
    <col min="9" max="9" width="10.59765625" style="8" customWidth="1"/>
    <col min="10" max="10" width="1.59765625" style="8" customWidth="1"/>
    <col min="11" max="11" width="7.296875" style="8" customWidth="1"/>
    <col min="12" max="16384" width="9.296875" style="8"/>
  </cols>
  <sheetData>
    <row r="1" spans="1:11" s="18" customFormat="1" ht="58.85" customHeight="1" x14ac:dyDescent="0.3">
      <c r="A1" s="52" t="s">
        <v>141</v>
      </c>
      <c r="B1" s="346" t="s">
        <v>301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1" s="18" customFormat="1" ht="13.3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14.95" thickBot="1" x14ac:dyDescent="0.35"/>
    <row r="5" spans="1:11" s="53" customFormat="1" ht="10.55" customHeight="1" x14ac:dyDescent="0.3">
      <c r="B5" s="362"/>
      <c r="C5" s="364" t="s">
        <v>40</v>
      </c>
      <c r="D5" s="4" t="s">
        <v>41</v>
      </c>
      <c r="E5" s="4" t="s">
        <v>38</v>
      </c>
      <c r="F5" s="4" t="s">
        <v>41</v>
      </c>
      <c r="G5" s="4" t="s">
        <v>38</v>
      </c>
      <c r="H5" s="366" t="s">
        <v>295</v>
      </c>
      <c r="I5" s="366"/>
      <c r="J5" s="65"/>
    </row>
    <row r="6" spans="1:11" s="54" customFormat="1" ht="14.95" thickBot="1" x14ac:dyDescent="0.35">
      <c r="B6" s="363"/>
      <c r="C6" s="365"/>
      <c r="D6" s="20" t="s">
        <v>143</v>
      </c>
      <c r="E6" s="20">
        <v>2014</v>
      </c>
      <c r="F6" s="20" t="s">
        <v>144</v>
      </c>
      <c r="G6" s="20">
        <v>2015</v>
      </c>
      <c r="H6" s="255" t="s">
        <v>119</v>
      </c>
      <c r="I6" s="255" t="s">
        <v>117</v>
      </c>
      <c r="J6" s="59"/>
    </row>
    <row r="7" spans="1:11" s="55" customFormat="1" ht="3.75" customHeight="1" x14ac:dyDescent="0.3">
      <c r="B7" s="50"/>
      <c r="C7" s="51"/>
      <c r="D7" s="90"/>
      <c r="E7" s="90"/>
      <c r="F7" s="90"/>
      <c r="G7" s="90"/>
      <c r="H7" s="254"/>
      <c r="I7" s="254"/>
      <c r="J7" s="49"/>
    </row>
    <row r="8" spans="1:11" ht="21.75" customHeight="1" x14ac:dyDescent="0.3">
      <c r="C8" s="66" t="s" vm="48">
        <v>284</v>
      </c>
      <c r="D8" s="157" vm="849">
        <v>331845</v>
      </c>
      <c r="E8" s="152">
        <v>13.28</v>
      </c>
      <c r="F8" s="157" vm="530">
        <v>337121</v>
      </c>
      <c r="G8" s="149">
        <v>12.93</v>
      </c>
      <c r="H8" s="335">
        <v>5276</v>
      </c>
      <c r="I8" s="330">
        <v>1.5898988985821632</v>
      </c>
    </row>
    <row r="9" spans="1:11" ht="21.75" customHeight="1" x14ac:dyDescent="0.3">
      <c r="C9" s="66" t="s" vm="45">
        <v>290</v>
      </c>
      <c r="D9" s="157" vm="939">
        <v>36846</v>
      </c>
      <c r="E9" s="152">
        <v>1.47</v>
      </c>
      <c r="F9" s="157" vm="524">
        <v>47369</v>
      </c>
      <c r="G9" s="149">
        <v>1.82</v>
      </c>
      <c r="H9" s="335">
        <v>10523</v>
      </c>
      <c r="I9" s="330">
        <v>28.559409433859827</v>
      </c>
    </row>
    <row r="10" spans="1:11" ht="21.75" customHeight="1" x14ac:dyDescent="0.3">
      <c r="C10" s="66" t="s" vm="36">
        <v>261</v>
      </c>
      <c r="D10" s="157" vm="1277">
        <v>59403</v>
      </c>
      <c r="E10" s="152">
        <v>2.38</v>
      </c>
      <c r="F10" s="157" vm="573">
        <v>78861</v>
      </c>
      <c r="G10" s="149">
        <v>3.03</v>
      </c>
      <c r="H10" s="335">
        <v>19458</v>
      </c>
      <c r="I10" s="330">
        <v>32.755921418110177</v>
      </c>
    </row>
    <row r="11" spans="1:11" ht="21.75" customHeight="1" x14ac:dyDescent="0.3">
      <c r="C11" s="66" t="s" vm="51">
        <v>263</v>
      </c>
      <c r="D11" s="157" vm="782">
        <v>6</v>
      </c>
      <c r="E11" s="152">
        <v>0</v>
      </c>
      <c r="F11" s="157" vm="581">
        <v>4</v>
      </c>
      <c r="G11" s="149">
        <v>0</v>
      </c>
      <c r="H11" s="335">
        <v>-2</v>
      </c>
      <c r="I11" s="330">
        <v>-33.333333333333343</v>
      </c>
    </row>
    <row r="12" spans="1:11" ht="21.75" customHeight="1" x14ac:dyDescent="0.3">
      <c r="C12" s="66" t="s" vm="38">
        <v>266</v>
      </c>
      <c r="D12" s="157" vm="1242">
        <v>17</v>
      </c>
      <c r="E12" s="152">
        <v>0</v>
      </c>
      <c r="F12" s="157" vm="582">
        <v>18</v>
      </c>
      <c r="G12" s="149">
        <v>0</v>
      </c>
      <c r="H12" s="335">
        <v>1</v>
      </c>
      <c r="I12" s="330">
        <v>5.8823529411764781</v>
      </c>
    </row>
    <row r="13" spans="1:11" ht="21.75" customHeight="1" x14ac:dyDescent="0.3">
      <c r="C13" s="66" t="s" vm="44">
        <v>273</v>
      </c>
      <c r="D13" s="157" vm="846">
        <v>1887</v>
      </c>
      <c r="E13" s="152">
        <v>0.08</v>
      </c>
      <c r="F13" s="157" vm="466">
        <v>1816</v>
      </c>
      <c r="G13" s="149">
        <v>7.0000000000000007E-2</v>
      </c>
      <c r="H13" s="335">
        <v>-71</v>
      </c>
      <c r="I13" s="330">
        <v>-3.7625861155272844</v>
      </c>
    </row>
    <row r="14" spans="1:11" ht="21.75" customHeight="1" x14ac:dyDescent="0.3">
      <c r="C14" s="66" t="s" vm="35">
        <v>237</v>
      </c>
      <c r="D14" s="157" vm="1077">
        <v>2714</v>
      </c>
      <c r="E14" s="152">
        <v>0.11</v>
      </c>
      <c r="F14" s="157" vm="636">
        <v>2499</v>
      </c>
      <c r="G14" s="149">
        <v>0.1</v>
      </c>
      <c r="H14" s="335">
        <v>-215</v>
      </c>
      <c r="I14" s="330">
        <v>-7.9218865143699304</v>
      </c>
    </row>
    <row r="15" spans="1:11" ht="21.75" customHeight="1" x14ac:dyDescent="0.3">
      <c r="C15" s="66" t="s" vm="50">
        <v>241</v>
      </c>
      <c r="D15" s="157" vm="800">
        <v>94017</v>
      </c>
      <c r="E15" s="152">
        <v>3.76</v>
      </c>
      <c r="F15" s="157" vm="467">
        <v>90071</v>
      </c>
      <c r="G15" s="149">
        <v>3.46</v>
      </c>
      <c r="H15" s="335">
        <v>-3946</v>
      </c>
      <c r="I15" s="330">
        <v>-4.1971132880223792</v>
      </c>
    </row>
    <row r="16" spans="1:11" ht="21.75" customHeight="1" x14ac:dyDescent="0.3">
      <c r="C16" s="66" t="s" vm="47">
        <v>255</v>
      </c>
      <c r="D16" s="157" vm="1198">
        <v>100776</v>
      </c>
      <c r="E16" s="152">
        <v>4.03</v>
      </c>
      <c r="F16" s="157" vm="525">
        <v>110331</v>
      </c>
      <c r="G16" s="149">
        <v>4.2300000000000004</v>
      </c>
      <c r="H16" s="335">
        <v>9555</v>
      </c>
      <c r="I16" s="330">
        <v>9.4814241486068198</v>
      </c>
    </row>
    <row r="17" spans="3:9" ht="21.75" customHeight="1" x14ac:dyDescent="0.3">
      <c r="C17" s="66" t="s" vm="43">
        <v>222</v>
      </c>
      <c r="D17" s="157" vm="734">
        <v>294732</v>
      </c>
      <c r="E17" s="152">
        <v>11.79</v>
      </c>
      <c r="F17" s="157" vm="620">
        <v>340211</v>
      </c>
      <c r="G17" s="149">
        <v>13.05</v>
      </c>
      <c r="H17" s="335">
        <v>45479</v>
      </c>
      <c r="I17" s="330">
        <v>15.430628503182547</v>
      </c>
    </row>
    <row r="18" spans="3:9" ht="21.75" customHeight="1" x14ac:dyDescent="0.3">
      <c r="C18" s="66" t="s" vm="34">
        <v>225</v>
      </c>
      <c r="D18" s="157" vm="724">
        <v>13</v>
      </c>
      <c r="E18" s="152">
        <v>0</v>
      </c>
      <c r="F18" s="157" vm="422">
        <v>14</v>
      </c>
      <c r="G18" s="149">
        <v>0</v>
      </c>
      <c r="H18" s="335">
        <v>1</v>
      </c>
      <c r="I18" s="330">
        <v>7.6923076923076934</v>
      </c>
    </row>
    <row r="19" spans="3:9" ht="21.75" customHeight="1" x14ac:dyDescent="0.3">
      <c r="C19" s="66" t="s" vm="39">
        <v>230</v>
      </c>
      <c r="D19" s="157" vm="788">
        <v>2159</v>
      </c>
      <c r="E19" s="152">
        <v>0.09</v>
      </c>
      <c r="F19" s="157" vm="596">
        <v>2228</v>
      </c>
      <c r="G19" s="149">
        <v>0.09</v>
      </c>
      <c r="H19" s="335">
        <v>69</v>
      </c>
      <c r="I19" s="330">
        <v>3.1959240389068952</v>
      </c>
    </row>
    <row r="20" spans="3:9" ht="21.75" customHeight="1" x14ac:dyDescent="0.3">
      <c r="C20" s="66" t="s" vm="37">
        <v>217</v>
      </c>
      <c r="D20" s="157" vm="716">
        <v>37736</v>
      </c>
      <c r="E20" s="152">
        <v>1.51</v>
      </c>
      <c r="F20" s="157" vm="458">
        <v>32703</v>
      </c>
      <c r="G20" s="149">
        <v>1.25</v>
      </c>
      <c r="H20" s="335">
        <v>-5033</v>
      </c>
      <c r="I20" s="330">
        <v>-13.337396650413396</v>
      </c>
    </row>
    <row r="21" spans="3:9" ht="21.75" customHeight="1" x14ac:dyDescent="0.3">
      <c r="C21" s="66" t="s" vm="42">
        <v>177</v>
      </c>
      <c r="D21" s="157" vm="1246">
        <v>4864</v>
      </c>
      <c r="E21" s="152">
        <v>0.19</v>
      </c>
      <c r="F21" s="157" vm="619">
        <v>4850</v>
      </c>
      <c r="G21" s="149">
        <v>0.19</v>
      </c>
      <c r="H21" s="335">
        <v>-14</v>
      </c>
      <c r="I21" s="330">
        <v>-0.28782894736842479</v>
      </c>
    </row>
    <row r="22" spans="3:9" ht="21.75" customHeight="1" x14ac:dyDescent="0.3">
      <c r="C22" s="66" t="s" vm="33">
        <v>180</v>
      </c>
      <c r="D22" s="157" vm="1063">
        <v>151</v>
      </c>
      <c r="E22" s="152">
        <v>0.01</v>
      </c>
      <c r="F22" s="157" vm="592">
        <v>129</v>
      </c>
      <c r="G22" s="149">
        <v>0</v>
      </c>
      <c r="H22" s="335">
        <v>-22</v>
      </c>
      <c r="I22" s="330">
        <v>-14.569536423841058</v>
      </c>
    </row>
    <row r="23" spans="3:9" ht="21.75" customHeight="1" x14ac:dyDescent="0.3">
      <c r="C23" s="66" t="s" vm="49">
        <v>187</v>
      </c>
      <c r="D23" s="157" vm="978">
        <v>41554</v>
      </c>
      <c r="E23" s="152">
        <v>1.66</v>
      </c>
      <c r="F23" s="157" vm="510">
        <v>12261</v>
      </c>
      <c r="G23" s="149">
        <v>0.47</v>
      </c>
      <c r="H23" s="335">
        <v>-29293</v>
      </c>
      <c r="I23" s="330">
        <v>-70.493815276507675</v>
      </c>
    </row>
    <row r="24" spans="3:9" ht="21.75" customHeight="1" x14ac:dyDescent="0.3">
      <c r="C24" s="66" t="s" vm="46">
        <v>189</v>
      </c>
      <c r="D24" s="157" vm="1195">
        <v>920</v>
      </c>
      <c r="E24" s="152">
        <v>0.04</v>
      </c>
      <c r="F24" s="157" vm="608">
        <v>1131</v>
      </c>
      <c r="G24" s="149">
        <v>0.04</v>
      </c>
      <c r="H24" s="335">
        <v>211</v>
      </c>
      <c r="I24" s="330">
        <v>22.934782608695656</v>
      </c>
    </row>
    <row r="25" spans="3:9" ht="21.75" customHeight="1" thickBot="1" x14ac:dyDescent="0.35">
      <c r="C25" s="83" t="s" vm="41">
        <v>194</v>
      </c>
      <c r="D25" s="161" vm="1081">
        <v>48136</v>
      </c>
      <c r="E25" s="153">
        <v>1.93</v>
      </c>
      <c r="F25" s="161" vm="494">
        <v>61424</v>
      </c>
      <c r="G25" s="150">
        <v>2.36</v>
      </c>
      <c r="H25" s="336">
        <v>13288</v>
      </c>
      <c r="I25" s="331">
        <v>27.605118829981706</v>
      </c>
    </row>
    <row r="26" spans="3:9" ht="21.75" customHeight="1" x14ac:dyDescent="0.3">
      <c r="C26" s="84" t="s" vm="199">
        <v>153</v>
      </c>
      <c r="D26" s="160" vm="808">
        <v>778926</v>
      </c>
      <c r="E26" s="154">
        <v>31.17</v>
      </c>
      <c r="F26" s="160" vm="412">
        <v>783003</v>
      </c>
      <c r="G26" s="151">
        <v>30.04</v>
      </c>
      <c r="H26" s="337">
        <v>4077</v>
      </c>
      <c r="I26" s="332">
        <v>0.52341300714060424</v>
      </c>
    </row>
    <row r="27" spans="3:9" ht="21.75" customHeight="1" x14ac:dyDescent="0.3">
      <c r="C27" s="66" t="s" vm="182">
        <v>157</v>
      </c>
      <c r="D27" s="157" vm="1086">
        <v>1999</v>
      </c>
      <c r="E27" s="152">
        <v>0.08</v>
      </c>
      <c r="F27" s="157" vm="641">
        <v>2089</v>
      </c>
      <c r="G27" s="149">
        <v>0.08</v>
      </c>
      <c r="H27" s="335">
        <v>90</v>
      </c>
      <c r="I27" s="330">
        <v>4.5022511255627791</v>
      </c>
    </row>
    <row r="28" spans="3:9" ht="21.75" customHeight="1" x14ac:dyDescent="0.3">
      <c r="C28" s="66" t="s" vm="180">
        <v>161</v>
      </c>
      <c r="D28" s="157" vm="779">
        <v>609465</v>
      </c>
      <c r="E28" s="152">
        <v>24.39</v>
      </c>
      <c r="F28" s="157" vm="542">
        <v>652602</v>
      </c>
      <c r="G28" s="149">
        <v>25.04</v>
      </c>
      <c r="H28" s="335">
        <v>43137</v>
      </c>
      <c r="I28" s="330">
        <v>7.07784696414069</v>
      </c>
    </row>
    <row r="29" spans="3:9" ht="21.75" customHeight="1" x14ac:dyDescent="0.3">
      <c r="C29" s="66" t="s" vm="178">
        <v>163</v>
      </c>
      <c r="D29" s="157" vm="946">
        <v>3806</v>
      </c>
      <c r="E29" s="152">
        <v>0.15</v>
      </c>
      <c r="F29" s="157" vm="643">
        <v>3536</v>
      </c>
      <c r="G29" s="149">
        <v>0.14000000000000001</v>
      </c>
      <c r="H29" s="335">
        <v>-270</v>
      </c>
      <c r="I29" s="330">
        <v>-7.0940620073568113</v>
      </c>
    </row>
    <row r="30" spans="3:9" ht="21.75" customHeight="1" x14ac:dyDescent="0.3">
      <c r="C30" s="66" t="s" vm="177">
        <v>169</v>
      </c>
      <c r="D30" s="157" vm="906">
        <v>46839</v>
      </c>
      <c r="E30" s="152">
        <v>1.87</v>
      </c>
      <c r="F30" s="157" vm="455">
        <v>42143</v>
      </c>
      <c r="G30" s="149">
        <v>1.62</v>
      </c>
      <c r="H30" s="335">
        <v>-4696</v>
      </c>
      <c r="I30" s="330">
        <v>-10.025833173210358</v>
      </c>
    </row>
    <row r="31" spans="3:9" ht="21.75" customHeight="1" x14ac:dyDescent="0.3">
      <c r="C31" s="66" t="s" vm="174">
        <v>171</v>
      </c>
      <c r="D31" s="157" vm="1153">
        <v>0</v>
      </c>
      <c r="E31" s="152">
        <v>0</v>
      </c>
      <c r="F31" s="157" vm="534">
        <v>0</v>
      </c>
      <c r="G31" s="149">
        <v>0</v>
      </c>
      <c r="H31" s="335">
        <v>0</v>
      </c>
      <c r="I31" s="330" t="s">
        <v>145</v>
      </c>
    </row>
    <row r="32" spans="3:9" ht="21.75" customHeight="1" x14ac:dyDescent="0.3">
      <c r="C32" s="66" t="s" vm="173">
        <v>296</v>
      </c>
      <c r="D32" s="157" vm="992">
        <v>0</v>
      </c>
      <c r="E32" s="152">
        <v>0</v>
      </c>
      <c r="F32" s="162" vm="523">
        <v>0</v>
      </c>
      <c r="G32" s="149">
        <v>0</v>
      </c>
      <c r="H32" s="335">
        <v>0</v>
      </c>
      <c r="I32" s="330" t="s">
        <v>145</v>
      </c>
    </row>
    <row r="33" spans="3:9" ht="21.75" customHeight="1" x14ac:dyDescent="0.3">
      <c r="C33" s="47" t="s" vm="40">
        <v>297</v>
      </c>
      <c r="D33" s="158" vm="1012">
        <v>1057776</v>
      </c>
      <c r="E33" s="155">
        <v>42.33</v>
      </c>
      <c r="F33" s="147" vm="615">
        <v>1123041</v>
      </c>
      <c r="G33" s="155">
        <v>43.09</v>
      </c>
      <c r="H33" s="338">
        <v>65265</v>
      </c>
      <c r="I33" s="333">
        <v>6.1700208739846545</v>
      </c>
    </row>
    <row r="34" spans="3:9" ht="21.75" customHeight="1" thickBot="1" x14ac:dyDescent="0.35">
      <c r="C34" s="47" t="s" vm="32">
        <v>298</v>
      </c>
      <c r="D34" s="158" vm="1215">
        <v>1441035</v>
      </c>
      <c r="E34" s="155">
        <v>57.67</v>
      </c>
      <c r="F34" s="147" vm="447">
        <v>1483373</v>
      </c>
      <c r="G34" s="155">
        <v>56.91</v>
      </c>
      <c r="H34" s="338">
        <v>42338</v>
      </c>
      <c r="I34" s="333">
        <v>2.9380271818519361</v>
      </c>
    </row>
    <row r="35" spans="3:9" ht="21.75" customHeight="1" x14ac:dyDescent="0.3">
      <c r="C35" s="85" t="s" vm="31">
        <v>299</v>
      </c>
      <c r="D35" s="159" vm="1097">
        <v>2498811</v>
      </c>
      <c r="E35" s="156">
        <v>100</v>
      </c>
      <c r="F35" s="148" vm="602">
        <v>2606414</v>
      </c>
      <c r="G35" s="156">
        <v>100</v>
      </c>
      <c r="H35" s="339">
        <v>107603</v>
      </c>
      <c r="I35" s="334">
        <v>4.3061680135072322</v>
      </c>
    </row>
    <row r="36" spans="3:9" x14ac:dyDescent="0.3">
      <c r="D36" s="86"/>
    </row>
    <row r="37" spans="3:9" x14ac:dyDescent="0.3">
      <c r="D37" s="86"/>
    </row>
    <row r="38" spans="3:9" x14ac:dyDescent="0.3">
      <c r="D38" s="86"/>
    </row>
    <row r="39" spans="3:9" x14ac:dyDescent="0.3">
      <c r="D39" s="86"/>
    </row>
    <row r="40" spans="3:9" x14ac:dyDescent="0.3">
      <c r="D40" s="86"/>
    </row>
    <row r="41" spans="3:9" x14ac:dyDescent="0.3">
      <c r="D41" s="86"/>
    </row>
    <row r="42" spans="3:9" x14ac:dyDescent="0.3">
      <c r="D42" s="86"/>
    </row>
    <row r="43" spans="3:9" x14ac:dyDescent="0.3">
      <c r="D43" s="86"/>
    </row>
    <row r="44" spans="3:9" x14ac:dyDescent="0.3">
      <c r="D44" s="86"/>
    </row>
    <row r="45" spans="3:9" x14ac:dyDescent="0.3">
      <c r="D45" s="86"/>
    </row>
    <row r="46" spans="3:9" x14ac:dyDescent="0.3">
      <c r="D46" s="86"/>
    </row>
    <row r="47" spans="3:9" x14ac:dyDescent="0.3">
      <c r="D47" s="86"/>
    </row>
    <row r="48" spans="3:9" x14ac:dyDescent="0.3">
      <c r="D48" s="86"/>
    </row>
    <row r="49" spans="4:4" x14ac:dyDescent="0.3">
      <c r="D49" s="86"/>
    </row>
    <row r="50" spans="4:4" x14ac:dyDescent="0.3">
      <c r="D50" s="86"/>
    </row>
    <row r="51" spans="4:4" x14ac:dyDescent="0.3">
      <c r="D51" s="86"/>
    </row>
    <row r="52" spans="4:4" x14ac:dyDescent="0.3">
      <c r="D52" s="86"/>
    </row>
    <row r="53" spans="4:4" x14ac:dyDescent="0.3">
      <c r="D53" s="86"/>
    </row>
    <row r="54" spans="4:4" x14ac:dyDescent="0.3">
      <c r="D54" s="86"/>
    </row>
    <row r="55" spans="4:4" x14ac:dyDescent="0.3">
      <c r="D55" s="86"/>
    </row>
    <row r="56" spans="4:4" x14ac:dyDescent="0.3">
      <c r="D56" s="86"/>
    </row>
    <row r="57" spans="4:4" x14ac:dyDescent="0.3">
      <c r="D57" s="86"/>
    </row>
    <row r="58" spans="4:4" x14ac:dyDescent="0.3">
      <c r="D58" s="86"/>
    </row>
    <row r="59" spans="4:4" x14ac:dyDescent="0.3">
      <c r="D59" s="86"/>
    </row>
    <row r="60" spans="4:4" x14ac:dyDescent="0.3">
      <c r="D60" s="86"/>
    </row>
    <row r="61" spans="4:4" x14ac:dyDescent="0.3">
      <c r="D61" s="86"/>
    </row>
    <row r="62" spans="4:4" x14ac:dyDescent="0.3">
      <c r="D62" s="86"/>
    </row>
    <row r="63" spans="4:4" x14ac:dyDescent="0.3">
      <c r="D63" s="86"/>
    </row>
    <row r="64" spans="4:4" x14ac:dyDescent="0.3">
      <c r="D64" s="86"/>
    </row>
    <row r="65" spans="4:4" x14ac:dyDescent="0.3">
      <c r="D65" s="86"/>
    </row>
    <row r="66" spans="4:4" x14ac:dyDescent="0.3">
      <c r="D66" s="86"/>
    </row>
    <row r="67" spans="4:4" x14ac:dyDescent="0.3">
      <c r="D67" s="86"/>
    </row>
    <row r="68" spans="4:4" x14ac:dyDescent="0.3">
      <c r="D68" s="86"/>
    </row>
    <row r="69" spans="4:4" x14ac:dyDescent="0.3">
      <c r="D69" s="86"/>
    </row>
    <row r="70" spans="4:4" x14ac:dyDescent="0.3">
      <c r="D70" s="86"/>
    </row>
    <row r="71" spans="4:4" x14ac:dyDescent="0.3">
      <c r="D71" s="86"/>
    </row>
    <row r="72" spans="4:4" x14ac:dyDescent="0.3">
      <c r="D72" s="86"/>
    </row>
    <row r="73" spans="4:4" x14ac:dyDescent="0.3">
      <c r="D73" s="86"/>
    </row>
    <row r="74" spans="4:4" x14ac:dyDescent="0.3">
      <c r="D74" s="86"/>
    </row>
    <row r="75" spans="4:4" x14ac:dyDescent="0.3">
      <c r="D75" s="86"/>
    </row>
    <row r="76" spans="4:4" x14ac:dyDescent="0.3">
      <c r="D76" s="86"/>
    </row>
    <row r="77" spans="4:4" x14ac:dyDescent="0.3">
      <c r="D77" s="86"/>
    </row>
    <row r="78" spans="4:4" x14ac:dyDescent="0.3">
      <c r="D78" s="86"/>
    </row>
    <row r="79" spans="4:4" x14ac:dyDescent="0.3">
      <c r="D79" s="86"/>
    </row>
    <row r="80" spans="4:4" x14ac:dyDescent="0.3">
      <c r="D80" s="86"/>
    </row>
    <row r="81" spans="4:4" x14ac:dyDescent="0.3">
      <c r="D81" s="86"/>
    </row>
    <row r="82" spans="4:4" x14ac:dyDescent="0.3">
      <c r="D82" s="86"/>
    </row>
    <row r="83" spans="4:4" x14ac:dyDescent="0.3">
      <c r="D83" s="86"/>
    </row>
    <row r="84" spans="4:4" x14ac:dyDescent="0.3">
      <c r="D84" s="86"/>
    </row>
    <row r="85" spans="4:4" x14ac:dyDescent="0.3">
      <c r="D85" s="86"/>
    </row>
    <row r="86" spans="4:4" x14ac:dyDescent="0.3">
      <c r="D86" s="86"/>
    </row>
    <row r="87" spans="4:4" x14ac:dyDescent="0.3">
      <c r="D87" s="86"/>
    </row>
    <row r="88" spans="4:4" x14ac:dyDescent="0.3">
      <c r="D88" s="86"/>
    </row>
    <row r="89" spans="4:4" x14ac:dyDescent="0.3">
      <c r="D89" s="86"/>
    </row>
    <row r="90" spans="4:4" x14ac:dyDescent="0.3">
      <c r="D90" s="86"/>
    </row>
    <row r="91" spans="4:4" x14ac:dyDescent="0.3">
      <c r="D91" s="86"/>
    </row>
    <row r="92" spans="4:4" x14ac:dyDescent="0.3">
      <c r="D92" s="86"/>
    </row>
    <row r="93" spans="4:4" x14ac:dyDescent="0.3">
      <c r="D93" s="86"/>
    </row>
    <row r="94" spans="4:4" x14ac:dyDescent="0.3">
      <c r="D94" s="86"/>
    </row>
    <row r="95" spans="4:4" x14ac:dyDescent="0.3">
      <c r="D95" s="86"/>
    </row>
    <row r="96" spans="4:4" x14ac:dyDescent="0.3">
      <c r="D96" s="86"/>
    </row>
    <row r="97" spans="4:4" x14ac:dyDescent="0.3">
      <c r="D97" s="86"/>
    </row>
    <row r="98" spans="4:4" x14ac:dyDescent="0.3">
      <c r="D98" s="86"/>
    </row>
    <row r="99" spans="4:4" x14ac:dyDescent="0.3">
      <c r="D99" s="86"/>
    </row>
    <row r="100" spans="4:4" x14ac:dyDescent="0.3">
      <c r="D100" s="86"/>
    </row>
    <row r="101" spans="4:4" x14ac:dyDescent="0.3">
      <c r="D101" s="86"/>
    </row>
    <row r="102" spans="4:4" x14ac:dyDescent="0.3">
      <c r="D102" s="86"/>
    </row>
    <row r="103" spans="4:4" x14ac:dyDescent="0.3">
      <c r="D103" s="86"/>
    </row>
    <row r="104" spans="4:4" x14ac:dyDescent="0.3">
      <c r="D104" s="86"/>
    </row>
    <row r="105" spans="4:4" x14ac:dyDescent="0.3">
      <c r="D105" s="86"/>
    </row>
    <row r="106" spans="4:4" x14ac:dyDescent="0.3">
      <c r="D106" s="86"/>
    </row>
    <row r="107" spans="4:4" x14ac:dyDescent="0.3">
      <c r="D107" s="86"/>
    </row>
    <row r="108" spans="4:4" x14ac:dyDescent="0.3">
      <c r="D108" s="86"/>
    </row>
    <row r="109" spans="4:4" x14ac:dyDescent="0.3">
      <c r="D109" s="86"/>
    </row>
    <row r="110" spans="4:4" x14ac:dyDescent="0.3">
      <c r="D110" s="86"/>
    </row>
    <row r="111" spans="4:4" x14ac:dyDescent="0.3">
      <c r="D111" s="86"/>
    </row>
    <row r="112" spans="4:4" x14ac:dyDescent="0.3">
      <c r="D112" s="86"/>
    </row>
    <row r="113" spans="4:4" x14ac:dyDescent="0.3">
      <c r="D113" s="86"/>
    </row>
    <row r="114" spans="4:4" x14ac:dyDescent="0.3">
      <c r="D114" s="86"/>
    </row>
    <row r="115" spans="4:4" x14ac:dyDescent="0.3">
      <c r="D115" s="86"/>
    </row>
    <row r="116" spans="4:4" x14ac:dyDescent="0.3">
      <c r="D116" s="86"/>
    </row>
    <row r="117" spans="4:4" x14ac:dyDescent="0.3">
      <c r="D117" s="86"/>
    </row>
    <row r="118" spans="4:4" x14ac:dyDescent="0.3">
      <c r="D118" s="86"/>
    </row>
    <row r="119" spans="4:4" x14ac:dyDescent="0.3">
      <c r="D119" s="86"/>
    </row>
    <row r="120" spans="4:4" x14ac:dyDescent="0.3">
      <c r="D120" s="86"/>
    </row>
    <row r="121" spans="4:4" x14ac:dyDescent="0.3">
      <c r="D121" s="86"/>
    </row>
    <row r="122" spans="4:4" x14ac:dyDescent="0.3">
      <c r="D122" s="86"/>
    </row>
    <row r="123" spans="4:4" x14ac:dyDescent="0.3">
      <c r="D123" s="86"/>
    </row>
    <row r="124" spans="4:4" x14ac:dyDescent="0.3">
      <c r="D124" s="86"/>
    </row>
    <row r="125" spans="4:4" x14ac:dyDescent="0.3">
      <c r="D125" s="86"/>
    </row>
    <row r="126" spans="4:4" x14ac:dyDescent="0.3">
      <c r="D126" s="86"/>
    </row>
    <row r="127" spans="4:4" x14ac:dyDescent="0.3">
      <c r="D127" s="86"/>
    </row>
    <row r="128" spans="4:4" x14ac:dyDescent="0.3">
      <c r="D128" s="86"/>
    </row>
    <row r="129" spans="4:4" x14ac:dyDescent="0.3">
      <c r="D129" s="86"/>
    </row>
    <row r="130" spans="4:4" x14ac:dyDescent="0.3">
      <c r="D130" s="86"/>
    </row>
    <row r="131" spans="4:4" x14ac:dyDescent="0.3">
      <c r="D131" s="86"/>
    </row>
  </sheetData>
  <mergeCells count="4">
    <mergeCell ref="B1:K1"/>
    <mergeCell ref="B5:B6"/>
    <mergeCell ref="C5:C6"/>
    <mergeCell ref="H5:I5"/>
  </mergeCells>
  <printOptions horizontalCentered="1"/>
  <pageMargins left="0.11811023622047245" right="0.11811023622047245" top="0.11811023622047245" bottom="0.15748031496062992" header="0.31496062992125984" footer="0.31496062992125984"/>
  <pageSetup paperSize="9" scale="75" orientation="landscape" r:id="rId1"/>
  <customProperties>
    <customPr name="Version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K131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3.296875" style="8" bestFit="1" customWidth="1"/>
    <col min="5" max="5" width="13.296875" style="8" customWidth="1"/>
    <col min="6" max="6" width="19.69921875" style="8" bestFit="1" customWidth="1"/>
    <col min="7" max="7" width="10.59765625" style="8" bestFit="1" customWidth="1"/>
    <col min="8" max="8" width="14.796875" style="8" bestFit="1" customWidth="1"/>
    <col min="9" max="9" width="10.59765625" style="8" customWidth="1"/>
    <col min="10" max="10" width="1.59765625" style="8" customWidth="1"/>
    <col min="11" max="11" width="7.296875" style="8" customWidth="1"/>
    <col min="12" max="16384" width="9.296875" style="8"/>
  </cols>
  <sheetData>
    <row r="1" spans="1:11" s="18" customFormat="1" ht="58.85" customHeight="1" x14ac:dyDescent="0.3">
      <c r="A1" s="52" t="s">
        <v>141</v>
      </c>
      <c r="B1" s="346" t="s">
        <v>300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1" s="18" customFormat="1" ht="13.3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4" spans="1:11" ht="14.95" thickBot="1" x14ac:dyDescent="0.35"/>
    <row r="5" spans="1:11" s="53" customFormat="1" ht="10.55" customHeight="1" x14ac:dyDescent="0.3">
      <c r="B5" s="362"/>
      <c r="C5" s="364" t="s">
        <v>40</v>
      </c>
      <c r="D5" s="4" t="s">
        <v>42</v>
      </c>
      <c r="E5" s="4" t="s">
        <v>38</v>
      </c>
      <c r="F5" s="4" t="s">
        <v>42</v>
      </c>
      <c r="G5" s="4" t="s">
        <v>38</v>
      </c>
      <c r="H5" s="366" t="s">
        <v>295</v>
      </c>
      <c r="I5" s="366"/>
      <c r="J5" s="65"/>
    </row>
    <row r="6" spans="1:11" s="54" customFormat="1" ht="14.95" thickBot="1" x14ac:dyDescent="0.35">
      <c r="B6" s="363"/>
      <c r="C6" s="365"/>
      <c r="D6" s="20" t="s">
        <v>143</v>
      </c>
      <c r="E6" s="20">
        <v>2014</v>
      </c>
      <c r="F6" s="20" t="s">
        <v>144</v>
      </c>
      <c r="G6" s="20">
        <v>2015</v>
      </c>
      <c r="H6" s="255" t="s">
        <v>119</v>
      </c>
      <c r="I6" s="255" t="s">
        <v>117</v>
      </c>
      <c r="J6" s="59"/>
    </row>
    <row r="7" spans="1:11" s="55" customFormat="1" ht="3.75" customHeight="1" x14ac:dyDescent="0.3">
      <c r="B7" s="50"/>
      <c r="C7" s="51"/>
      <c r="D7" s="90"/>
      <c r="E7" s="90"/>
      <c r="F7" s="90"/>
      <c r="G7" s="90"/>
      <c r="H7" s="254"/>
      <c r="I7" s="254"/>
      <c r="J7" s="49"/>
    </row>
    <row r="8" spans="1:11" ht="21.75" customHeight="1" x14ac:dyDescent="0.3">
      <c r="C8" s="66" t="s" vm="48">
        <v>284</v>
      </c>
      <c r="D8" s="157" vm="806">
        <v>2672</v>
      </c>
      <c r="E8" s="152">
        <v>1.83</v>
      </c>
      <c r="F8" s="144" vm="498">
        <v>2534</v>
      </c>
      <c r="G8" s="152">
        <v>0.72</v>
      </c>
      <c r="H8" s="335">
        <v>-138</v>
      </c>
      <c r="I8" s="330">
        <v>-5.1646706586826383</v>
      </c>
    </row>
    <row r="9" spans="1:11" ht="21.75" customHeight="1" x14ac:dyDescent="0.3">
      <c r="C9" s="66" t="s" vm="45">
        <v>290</v>
      </c>
      <c r="D9" s="157" vm="747">
        <v>72991</v>
      </c>
      <c r="E9" s="152">
        <v>49.92</v>
      </c>
      <c r="F9" s="141" vm="451">
        <v>283065</v>
      </c>
      <c r="G9" s="152">
        <v>80.489999999999995</v>
      </c>
      <c r="H9" s="335">
        <v>210074</v>
      </c>
      <c r="I9" s="330">
        <v>287.80808592840214</v>
      </c>
    </row>
    <row r="10" spans="1:11" ht="21.75" customHeight="1" x14ac:dyDescent="0.3">
      <c r="C10" s="66" t="s" vm="36">
        <v>261</v>
      </c>
      <c r="D10" s="157" vm="826">
        <v>16766</v>
      </c>
      <c r="E10" s="152">
        <v>11.47</v>
      </c>
      <c r="F10" s="141" vm="584">
        <v>17479</v>
      </c>
      <c r="G10" s="152">
        <v>4.97</v>
      </c>
      <c r="H10" s="335">
        <v>713</v>
      </c>
      <c r="I10" s="330">
        <v>4.2526541810807572</v>
      </c>
    </row>
    <row r="11" spans="1:11" ht="21.75" customHeight="1" x14ac:dyDescent="0.3">
      <c r="C11" s="66" t="s" vm="51">
        <v>263</v>
      </c>
      <c r="D11" s="157" vm="1334">
        <v>51</v>
      </c>
      <c r="E11" s="152">
        <v>0.03</v>
      </c>
      <c r="F11" s="141" vm="465">
        <v>56</v>
      </c>
      <c r="G11" s="152">
        <v>0.02</v>
      </c>
      <c r="H11" s="335">
        <v>5</v>
      </c>
      <c r="I11" s="330">
        <v>9.8039215686274588</v>
      </c>
    </row>
    <row r="12" spans="1:11" ht="21.75" customHeight="1" x14ac:dyDescent="0.3">
      <c r="C12" s="66" t="s" vm="38">
        <v>266</v>
      </c>
      <c r="D12" s="157" vm="681">
        <v>0</v>
      </c>
      <c r="E12" s="152">
        <v>0</v>
      </c>
      <c r="F12" s="141" vm="603">
        <v>2</v>
      </c>
      <c r="G12" s="152">
        <v>0</v>
      </c>
      <c r="H12" s="335">
        <v>2</v>
      </c>
      <c r="I12" s="330" t="s">
        <v>145</v>
      </c>
    </row>
    <row r="13" spans="1:11" ht="21.75" customHeight="1" x14ac:dyDescent="0.3">
      <c r="C13" s="66" t="s" vm="44">
        <v>273</v>
      </c>
      <c r="D13" s="157" vm="1281">
        <v>215</v>
      </c>
      <c r="E13" s="152">
        <v>0.15</v>
      </c>
      <c r="F13" s="141" vm="601">
        <v>217</v>
      </c>
      <c r="G13" s="152">
        <v>0.06</v>
      </c>
      <c r="H13" s="335">
        <v>2</v>
      </c>
      <c r="I13" s="330">
        <v>0.93023255813953654</v>
      </c>
    </row>
    <row r="14" spans="1:11" ht="21.75" customHeight="1" x14ac:dyDescent="0.3">
      <c r="C14" s="66" t="s" vm="35">
        <v>237</v>
      </c>
      <c r="D14" s="157" vm="1152">
        <v>785</v>
      </c>
      <c r="E14" s="152">
        <v>0.54</v>
      </c>
      <c r="F14" s="141" vm="640">
        <v>517</v>
      </c>
      <c r="G14" s="152">
        <v>0.15</v>
      </c>
      <c r="H14" s="335">
        <v>-268</v>
      </c>
      <c r="I14" s="330">
        <v>-34.140127388535035</v>
      </c>
    </row>
    <row r="15" spans="1:11" ht="21.75" customHeight="1" x14ac:dyDescent="0.3">
      <c r="C15" s="66" t="s" vm="50">
        <v>241</v>
      </c>
      <c r="D15" s="157" vm="703">
        <v>5234</v>
      </c>
      <c r="E15" s="152">
        <v>3.58</v>
      </c>
      <c r="F15" s="141" vm="622">
        <v>4103</v>
      </c>
      <c r="G15" s="152">
        <v>1.17</v>
      </c>
      <c r="H15" s="335">
        <v>-1131</v>
      </c>
      <c r="I15" s="330">
        <v>-21.608712265953372</v>
      </c>
    </row>
    <row r="16" spans="1:11" ht="21.75" customHeight="1" x14ac:dyDescent="0.3">
      <c r="C16" s="66" t="s" vm="47">
        <v>255</v>
      </c>
      <c r="D16" s="157" vm="934">
        <v>12906</v>
      </c>
      <c r="E16" s="152">
        <v>8.83</v>
      </c>
      <c r="F16" s="141" vm="610">
        <v>9956</v>
      </c>
      <c r="G16" s="152">
        <v>2.83</v>
      </c>
      <c r="H16" s="335">
        <v>-2950</v>
      </c>
      <c r="I16" s="330">
        <v>-22.857585619091893</v>
      </c>
    </row>
    <row r="17" spans="3:9" ht="21.75" customHeight="1" x14ac:dyDescent="0.3">
      <c r="C17" s="66" t="s" vm="43">
        <v>222</v>
      </c>
      <c r="D17" s="157" vm="1024">
        <v>12596</v>
      </c>
      <c r="E17" s="152">
        <v>8.61</v>
      </c>
      <c r="F17" s="141" vm="516">
        <v>12153</v>
      </c>
      <c r="G17" s="152">
        <v>3.46</v>
      </c>
      <c r="H17" s="335">
        <v>-443</v>
      </c>
      <c r="I17" s="330">
        <v>-3.5169895204826958</v>
      </c>
    </row>
    <row r="18" spans="3:9" ht="21.75" customHeight="1" x14ac:dyDescent="0.3">
      <c r="C18" s="66" t="s" vm="34">
        <v>225</v>
      </c>
      <c r="D18" s="157" vm="878">
        <v>0</v>
      </c>
      <c r="E18" s="152">
        <v>0</v>
      </c>
      <c r="F18" s="141" vm="490">
        <v>0</v>
      </c>
      <c r="G18" s="152">
        <v>0</v>
      </c>
      <c r="H18" s="335">
        <v>0</v>
      </c>
      <c r="I18" s="330" t="s">
        <v>145</v>
      </c>
    </row>
    <row r="19" spans="3:9" ht="21.75" customHeight="1" x14ac:dyDescent="0.3">
      <c r="C19" s="66" t="s" vm="39">
        <v>230</v>
      </c>
      <c r="D19" s="157" vm="1269">
        <v>22</v>
      </c>
      <c r="E19" s="152">
        <v>0.02</v>
      </c>
      <c r="F19" s="141" vm="488">
        <v>20</v>
      </c>
      <c r="G19" s="152">
        <v>0.01</v>
      </c>
      <c r="H19" s="335">
        <v>-2</v>
      </c>
      <c r="I19" s="330">
        <v>-9.0909090909090935</v>
      </c>
    </row>
    <row r="20" spans="3:9" ht="21.75" customHeight="1" x14ac:dyDescent="0.3">
      <c r="C20" s="66" t="s" vm="37">
        <v>217</v>
      </c>
      <c r="D20" s="157" vm="1506">
        <v>1859</v>
      </c>
      <c r="E20" s="152">
        <v>1.27</v>
      </c>
      <c r="F20" s="141" vm="648">
        <v>1690</v>
      </c>
      <c r="G20" s="152">
        <v>0.48</v>
      </c>
      <c r="H20" s="335">
        <v>-169</v>
      </c>
      <c r="I20" s="330">
        <v>-9.0909090909090935</v>
      </c>
    </row>
    <row r="21" spans="3:9" ht="21.75" customHeight="1" x14ac:dyDescent="0.3">
      <c r="C21" s="66" t="s" vm="42">
        <v>177</v>
      </c>
      <c r="D21" s="157" vm="1233">
        <v>453</v>
      </c>
      <c r="E21" s="152">
        <v>0.31</v>
      </c>
      <c r="F21" s="141" vm="460">
        <v>589</v>
      </c>
      <c r="G21" s="152">
        <v>0.17</v>
      </c>
      <c r="H21" s="335">
        <v>136</v>
      </c>
      <c r="I21" s="330">
        <v>30.022075055187628</v>
      </c>
    </row>
    <row r="22" spans="3:9" ht="21.75" customHeight="1" x14ac:dyDescent="0.3">
      <c r="C22" s="66" t="s" vm="33">
        <v>180</v>
      </c>
      <c r="D22" s="157" vm="876">
        <v>84</v>
      </c>
      <c r="E22" s="152">
        <v>0.06</v>
      </c>
      <c r="F22" s="141" vm="586">
        <v>68</v>
      </c>
      <c r="G22" s="152">
        <v>0.02</v>
      </c>
      <c r="H22" s="335">
        <v>-16</v>
      </c>
      <c r="I22" s="330">
        <v>-19.047619047619051</v>
      </c>
    </row>
    <row r="23" spans="3:9" ht="21.75" customHeight="1" x14ac:dyDescent="0.3">
      <c r="C23" s="66" t="s" vm="49">
        <v>187</v>
      </c>
      <c r="D23" s="157" vm="983">
        <v>275</v>
      </c>
      <c r="E23" s="152">
        <v>0.19</v>
      </c>
      <c r="F23" s="141" vm="445">
        <v>315</v>
      </c>
      <c r="G23" s="152">
        <v>0.09</v>
      </c>
      <c r="H23" s="335">
        <v>40</v>
      </c>
      <c r="I23" s="330">
        <v>14.545454545454547</v>
      </c>
    </row>
    <row r="24" spans="3:9" ht="21.75" customHeight="1" x14ac:dyDescent="0.3">
      <c r="C24" s="66" t="s" vm="46">
        <v>189</v>
      </c>
      <c r="D24" s="157" vm="873">
        <v>0</v>
      </c>
      <c r="E24" s="152">
        <v>0</v>
      </c>
      <c r="F24" s="141" vm="605">
        <v>0</v>
      </c>
      <c r="G24" s="152">
        <v>0</v>
      </c>
      <c r="H24" s="335">
        <v>0</v>
      </c>
      <c r="I24" s="330" t="s">
        <v>145</v>
      </c>
    </row>
    <row r="25" spans="3:9" ht="21.75" customHeight="1" thickBot="1" x14ac:dyDescent="0.35">
      <c r="C25" s="83" t="s" vm="41">
        <v>194</v>
      </c>
      <c r="D25" s="163" vm="753">
        <v>9795</v>
      </c>
      <c r="E25" s="153">
        <v>6.7</v>
      </c>
      <c r="F25" s="142" vm="642">
        <v>10505</v>
      </c>
      <c r="G25" s="153">
        <v>2.99</v>
      </c>
      <c r="H25" s="336">
        <v>710</v>
      </c>
      <c r="I25" s="331">
        <v>7.2485962225625258</v>
      </c>
    </row>
    <row r="26" spans="3:9" ht="21.75" customHeight="1" x14ac:dyDescent="0.3">
      <c r="C26" s="84" t="s" vm="199">
        <v>153</v>
      </c>
      <c r="D26" s="164" vm="795">
        <v>7527</v>
      </c>
      <c r="E26" s="154">
        <v>5.15</v>
      </c>
      <c r="F26" s="143" vm="551">
        <v>6565</v>
      </c>
      <c r="G26" s="154">
        <v>1.87</v>
      </c>
      <c r="H26" s="337">
        <v>-962</v>
      </c>
      <c r="I26" s="332">
        <v>-12.780656303972364</v>
      </c>
    </row>
    <row r="27" spans="3:9" ht="21.75" customHeight="1" x14ac:dyDescent="0.3">
      <c r="C27" s="66" t="s" vm="182">
        <v>157</v>
      </c>
      <c r="D27" s="157" vm="790">
        <v>142</v>
      </c>
      <c r="E27" s="152">
        <v>0.1</v>
      </c>
      <c r="F27" s="141" vm="644">
        <v>305</v>
      </c>
      <c r="G27" s="152">
        <v>0.09</v>
      </c>
      <c r="H27" s="335">
        <v>163</v>
      </c>
      <c r="I27" s="330">
        <v>114.78873239436621</v>
      </c>
    </row>
    <row r="28" spans="3:9" ht="21.75" customHeight="1" x14ac:dyDescent="0.3">
      <c r="C28" s="66" t="s" vm="180">
        <v>161</v>
      </c>
      <c r="D28" s="157" vm="1324">
        <v>712</v>
      </c>
      <c r="E28" s="152">
        <v>0.49</v>
      </c>
      <c r="F28" s="141" vm="479">
        <v>594</v>
      </c>
      <c r="G28" s="152">
        <v>0.17</v>
      </c>
      <c r="H28" s="335">
        <v>-118</v>
      </c>
      <c r="I28" s="330">
        <v>-16.573033707865164</v>
      </c>
    </row>
    <row r="29" spans="3:9" ht="21.75" customHeight="1" x14ac:dyDescent="0.3">
      <c r="C29" s="66" t="s" vm="178">
        <v>163</v>
      </c>
      <c r="D29" s="157" vm="1100">
        <v>45</v>
      </c>
      <c r="E29" s="152">
        <v>0.03</v>
      </c>
      <c r="F29" s="141" vm="475">
        <v>33</v>
      </c>
      <c r="G29" s="152">
        <v>0.01</v>
      </c>
      <c r="H29" s="335">
        <v>-12</v>
      </c>
      <c r="I29" s="330">
        <v>-26.666666666666671</v>
      </c>
    </row>
    <row r="30" spans="3:9" ht="21.75" customHeight="1" x14ac:dyDescent="0.3">
      <c r="C30" s="66" t="s" vm="177">
        <v>169</v>
      </c>
      <c r="D30" s="157" vm="900">
        <v>1097</v>
      </c>
      <c r="E30" s="152">
        <v>0.75</v>
      </c>
      <c r="F30" s="141" vm="587">
        <v>910</v>
      </c>
      <c r="G30" s="152">
        <v>0.26</v>
      </c>
      <c r="H30" s="335">
        <v>-187</v>
      </c>
      <c r="I30" s="330">
        <v>-17.046490428441203</v>
      </c>
    </row>
    <row r="31" spans="3:9" ht="21.75" customHeight="1" x14ac:dyDescent="0.3">
      <c r="C31" s="66" t="s" vm="174">
        <v>171</v>
      </c>
      <c r="D31" s="157" vm="736">
        <v>0</v>
      </c>
      <c r="E31" s="152">
        <v>0</v>
      </c>
      <c r="F31" s="141" vm="419">
        <v>0</v>
      </c>
      <c r="G31" s="152">
        <v>0</v>
      </c>
      <c r="H31" s="335">
        <v>0</v>
      </c>
      <c r="I31" s="330" t="s">
        <v>145</v>
      </c>
    </row>
    <row r="32" spans="3:9" ht="21.75" customHeight="1" x14ac:dyDescent="0.3">
      <c r="C32" s="66" t="s" vm="173">
        <v>296</v>
      </c>
      <c r="D32" s="157" vm="787">
        <v>0</v>
      </c>
      <c r="E32" s="152">
        <v>0</v>
      </c>
      <c r="F32" s="141" vm="543">
        <v>0</v>
      </c>
      <c r="G32" s="152">
        <v>0</v>
      </c>
      <c r="H32" s="335">
        <v>0</v>
      </c>
      <c r="I32" s="330" t="s">
        <v>145</v>
      </c>
    </row>
    <row r="33" spans="3:9" ht="21.75" customHeight="1" x14ac:dyDescent="0.3">
      <c r="C33" s="47" t="s" vm="40">
        <v>297</v>
      </c>
      <c r="D33" s="158" vm="892">
        <v>136704</v>
      </c>
      <c r="E33" s="155">
        <v>93.49</v>
      </c>
      <c r="F33" s="147" vm="526">
        <v>343269</v>
      </c>
      <c r="G33" s="155">
        <v>97.61</v>
      </c>
      <c r="H33" s="338">
        <v>206565</v>
      </c>
      <c r="I33" s="333">
        <v>151.10384480337081</v>
      </c>
    </row>
    <row r="34" spans="3:9" ht="21.75" customHeight="1" thickBot="1" x14ac:dyDescent="0.35">
      <c r="C34" s="47" t="s" vm="32">
        <v>298</v>
      </c>
      <c r="D34" s="158" vm="1292">
        <v>9523</v>
      </c>
      <c r="E34" s="155">
        <v>6.51</v>
      </c>
      <c r="F34" s="147" vm="606">
        <v>8407</v>
      </c>
      <c r="G34" s="155">
        <v>2.39</v>
      </c>
      <c r="H34" s="338">
        <v>-1116</v>
      </c>
      <c r="I34" s="333">
        <v>-11.71899611466975</v>
      </c>
    </row>
    <row r="35" spans="3:9" ht="21.75" customHeight="1" x14ac:dyDescent="0.3">
      <c r="C35" s="85" t="s" vm="31">
        <v>299</v>
      </c>
      <c r="D35" s="159" vm="912">
        <v>146227</v>
      </c>
      <c r="E35" s="156">
        <v>100</v>
      </c>
      <c r="F35" s="148" vm="589">
        <v>351676</v>
      </c>
      <c r="G35" s="156">
        <v>100</v>
      </c>
      <c r="H35" s="339">
        <v>205449</v>
      </c>
      <c r="I35" s="334">
        <v>140.50004445143509</v>
      </c>
    </row>
    <row r="36" spans="3:9" x14ac:dyDescent="0.3">
      <c r="D36" s="86"/>
    </row>
    <row r="37" spans="3:9" x14ac:dyDescent="0.3">
      <c r="D37" s="86"/>
    </row>
    <row r="38" spans="3:9" x14ac:dyDescent="0.3">
      <c r="D38" s="86"/>
    </row>
    <row r="39" spans="3:9" x14ac:dyDescent="0.3">
      <c r="D39" s="86"/>
    </row>
    <row r="40" spans="3:9" x14ac:dyDescent="0.3">
      <c r="D40" s="86"/>
    </row>
    <row r="41" spans="3:9" x14ac:dyDescent="0.3">
      <c r="D41" s="86"/>
    </row>
    <row r="42" spans="3:9" x14ac:dyDescent="0.3">
      <c r="D42" s="86"/>
    </row>
    <row r="43" spans="3:9" x14ac:dyDescent="0.3">
      <c r="D43" s="86"/>
    </row>
    <row r="44" spans="3:9" x14ac:dyDescent="0.3">
      <c r="D44" s="86"/>
    </row>
    <row r="45" spans="3:9" x14ac:dyDescent="0.3">
      <c r="D45" s="86"/>
    </row>
    <row r="46" spans="3:9" x14ac:dyDescent="0.3">
      <c r="D46" s="86"/>
    </row>
    <row r="47" spans="3:9" x14ac:dyDescent="0.3">
      <c r="D47" s="86"/>
    </row>
    <row r="48" spans="3:9" x14ac:dyDescent="0.3">
      <c r="D48" s="86"/>
    </row>
    <row r="49" spans="4:4" x14ac:dyDescent="0.3">
      <c r="D49" s="86"/>
    </row>
    <row r="50" spans="4:4" x14ac:dyDescent="0.3">
      <c r="D50" s="86"/>
    </row>
    <row r="51" spans="4:4" x14ac:dyDescent="0.3">
      <c r="D51" s="86"/>
    </row>
    <row r="52" spans="4:4" x14ac:dyDescent="0.3">
      <c r="D52" s="86"/>
    </row>
    <row r="53" spans="4:4" x14ac:dyDescent="0.3">
      <c r="D53" s="86"/>
    </row>
    <row r="54" spans="4:4" x14ac:dyDescent="0.3">
      <c r="D54" s="86"/>
    </row>
    <row r="55" spans="4:4" x14ac:dyDescent="0.3">
      <c r="D55" s="86"/>
    </row>
    <row r="56" spans="4:4" x14ac:dyDescent="0.3">
      <c r="D56" s="86"/>
    </row>
    <row r="57" spans="4:4" x14ac:dyDescent="0.3">
      <c r="D57" s="86"/>
    </row>
    <row r="58" spans="4:4" x14ac:dyDescent="0.3">
      <c r="D58" s="86"/>
    </row>
    <row r="59" spans="4:4" x14ac:dyDescent="0.3">
      <c r="D59" s="86"/>
    </row>
    <row r="60" spans="4:4" x14ac:dyDescent="0.3">
      <c r="D60" s="86"/>
    </row>
    <row r="61" spans="4:4" x14ac:dyDescent="0.3">
      <c r="D61" s="86"/>
    </row>
    <row r="62" spans="4:4" x14ac:dyDescent="0.3">
      <c r="D62" s="86"/>
    </row>
    <row r="63" spans="4:4" x14ac:dyDescent="0.3">
      <c r="D63" s="86"/>
    </row>
    <row r="64" spans="4:4" x14ac:dyDescent="0.3">
      <c r="D64" s="86"/>
    </row>
    <row r="65" spans="4:4" x14ac:dyDescent="0.3">
      <c r="D65" s="86"/>
    </row>
    <row r="66" spans="4:4" x14ac:dyDescent="0.3">
      <c r="D66" s="86"/>
    </row>
    <row r="67" spans="4:4" x14ac:dyDescent="0.3">
      <c r="D67" s="86"/>
    </row>
    <row r="68" spans="4:4" x14ac:dyDescent="0.3">
      <c r="D68" s="86"/>
    </row>
    <row r="69" spans="4:4" x14ac:dyDescent="0.3">
      <c r="D69" s="86"/>
    </row>
    <row r="70" spans="4:4" x14ac:dyDescent="0.3">
      <c r="D70" s="86"/>
    </row>
    <row r="71" spans="4:4" x14ac:dyDescent="0.3">
      <c r="D71" s="86"/>
    </row>
    <row r="72" spans="4:4" x14ac:dyDescent="0.3">
      <c r="D72" s="86"/>
    </row>
    <row r="73" spans="4:4" x14ac:dyDescent="0.3">
      <c r="D73" s="86"/>
    </row>
    <row r="74" spans="4:4" x14ac:dyDescent="0.3">
      <c r="D74" s="86"/>
    </row>
    <row r="75" spans="4:4" x14ac:dyDescent="0.3">
      <c r="D75" s="86"/>
    </row>
    <row r="76" spans="4:4" x14ac:dyDescent="0.3">
      <c r="D76" s="86"/>
    </row>
    <row r="77" spans="4:4" x14ac:dyDescent="0.3">
      <c r="D77" s="86"/>
    </row>
    <row r="78" spans="4:4" x14ac:dyDescent="0.3">
      <c r="D78" s="86"/>
    </row>
    <row r="79" spans="4:4" x14ac:dyDescent="0.3">
      <c r="D79" s="86"/>
    </row>
    <row r="80" spans="4:4" x14ac:dyDescent="0.3">
      <c r="D80" s="86"/>
    </row>
    <row r="81" spans="4:4" x14ac:dyDescent="0.3">
      <c r="D81" s="86"/>
    </row>
    <row r="82" spans="4:4" x14ac:dyDescent="0.3">
      <c r="D82" s="86"/>
    </row>
    <row r="83" spans="4:4" x14ac:dyDescent="0.3">
      <c r="D83" s="86"/>
    </row>
    <row r="84" spans="4:4" x14ac:dyDescent="0.3">
      <c r="D84" s="86"/>
    </row>
    <row r="85" spans="4:4" x14ac:dyDescent="0.3">
      <c r="D85" s="86"/>
    </row>
    <row r="86" spans="4:4" x14ac:dyDescent="0.3">
      <c r="D86" s="86"/>
    </row>
    <row r="87" spans="4:4" x14ac:dyDescent="0.3">
      <c r="D87" s="86"/>
    </row>
    <row r="88" spans="4:4" x14ac:dyDescent="0.3">
      <c r="D88" s="86"/>
    </row>
    <row r="89" spans="4:4" x14ac:dyDescent="0.3">
      <c r="D89" s="86"/>
    </row>
    <row r="90" spans="4:4" x14ac:dyDescent="0.3">
      <c r="D90" s="86"/>
    </row>
    <row r="91" spans="4:4" x14ac:dyDescent="0.3">
      <c r="D91" s="86"/>
    </row>
    <row r="92" spans="4:4" x14ac:dyDescent="0.3">
      <c r="D92" s="86"/>
    </row>
    <row r="93" spans="4:4" x14ac:dyDescent="0.3">
      <c r="D93" s="86"/>
    </row>
    <row r="94" spans="4:4" x14ac:dyDescent="0.3">
      <c r="D94" s="86"/>
    </row>
    <row r="95" spans="4:4" x14ac:dyDescent="0.3">
      <c r="D95" s="86"/>
    </row>
    <row r="96" spans="4:4" x14ac:dyDescent="0.3">
      <c r="D96" s="86"/>
    </row>
    <row r="97" spans="4:4" x14ac:dyDescent="0.3">
      <c r="D97" s="86"/>
    </row>
    <row r="98" spans="4:4" x14ac:dyDescent="0.3">
      <c r="D98" s="86"/>
    </row>
    <row r="99" spans="4:4" x14ac:dyDescent="0.3">
      <c r="D99" s="86"/>
    </row>
    <row r="100" spans="4:4" x14ac:dyDescent="0.3">
      <c r="D100" s="86"/>
    </row>
    <row r="101" spans="4:4" x14ac:dyDescent="0.3">
      <c r="D101" s="86"/>
    </row>
    <row r="102" spans="4:4" x14ac:dyDescent="0.3">
      <c r="D102" s="86"/>
    </row>
    <row r="103" spans="4:4" x14ac:dyDescent="0.3">
      <c r="D103" s="86"/>
    </row>
    <row r="104" spans="4:4" x14ac:dyDescent="0.3">
      <c r="D104" s="86"/>
    </row>
    <row r="105" spans="4:4" x14ac:dyDescent="0.3">
      <c r="D105" s="86"/>
    </row>
    <row r="106" spans="4:4" x14ac:dyDescent="0.3">
      <c r="D106" s="86"/>
    </row>
    <row r="107" spans="4:4" x14ac:dyDescent="0.3">
      <c r="D107" s="86"/>
    </row>
    <row r="108" spans="4:4" x14ac:dyDescent="0.3">
      <c r="D108" s="86"/>
    </row>
    <row r="109" spans="4:4" x14ac:dyDescent="0.3">
      <c r="D109" s="86"/>
    </row>
    <row r="110" spans="4:4" x14ac:dyDescent="0.3">
      <c r="D110" s="86"/>
    </row>
    <row r="111" spans="4:4" x14ac:dyDescent="0.3">
      <c r="D111" s="86"/>
    </row>
    <row r="112" spans="4:4" x14ac:dyDescent="0.3">
      <c r="D112" s="86"/>
    </row>
    <row r="113" spans="4:4" x14ac:dyDescent="0.3">
      <c r="D113" s="86"/>
    </row>
    <row r="114" spans="4:4" x14ac:dyDescent="0.3">
      <c r="D114" s="86"/>
    </row>
    <row r="115" spans="4:4" x14ac:dyDescent="0.3">
      <c r="D115" s="86"/>
    </row>
    <row r="116" spans="4:4" x14ac:dyDescent="0.3">
      <c r="D116" s="86"/>
    </row>
    <row r="117" spans="4:4" x14ac:dyDescent="0.3">
      <c r="D117" s="86"/>
    </row>
    <row r="118" spans="4:4" x14ac:dyDescent="0.3">
      <c r="D118" s="86"/>
    </row>
    <row r="119" spans="4:4" x14ac:dyDescent="0.3">
      <c r="D119" s="86"/>
    </row>
    <row r="120" spans="4:4" x14ac:dyDescent="0.3">
      <c r="D120" s="86"/>
    </row>
    <row r="121" spans="4:4" x14ac:dyDescent="0.3">
      <c r="D121" s="86"/>
    </row>
    <row r="122" spans="4:4" x14ac:dyDescent="0.3">
      <c r="D122" s="86"/>
    </row>
    <row r="123" spans="4:4" x14ac:dyDescent="0.3">
      <c r="D123" s="86"/>
    </row>
    <row r="124" spans="4:4" x14ac:dyDescent="0.3">
      <c r="D124" s="86"/>
    </row>
    <row r="125" spans="4:4" x14ac:dyDescent="0.3">
      <c r="D125" s="86"/>
    </row>
    <row r="126" spans="4:4" x14ac:dyDescent="0.3">
      <c r="D126" s="86"/>
    </row>
    <row r="127" spans="4:4" x14ac:dyDescent="0.3">
      <c r="D127" s="86"/>
    </row>
    <row r="128" spans="4:4" x14ac:dyDescent="0.3">
      <c r="D128" s="86"/>
    </row>
    <row r="129" spans="4:4" x14ac:dyDescent="0.3">
      <c r="D129" s="86"/>
    </row>
    <row r="130" spans="4:4" x14ac:dyDescent="0.3">
      <c r="D130" s="86"/>
    </row>
    <row r="131" spans="4:4" x14ac:dyDescent="0.3">
      <c r="D131" s="86"/>
    </row>
  </sheetData>
  <mergeCells count="4">
    <mergeCell ref="B1:K1"/>
    <mergeCell ref="B5:B6"/>
    <mergeCell ref="C5:C6"/>
    <mergeCell ref="H5:I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  <customProperties>
    <customPr name="Version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K131"/>
  <sheetViews>
    <sheetView showGridLines="0" zoomScale="86" zoomScaleNormal="86" workbookViewId="0">
      <selection activeCell="A3" sqref="A3"/>
    </sheetView>
  </sheetViews>
  <sheetFormatPr defaultColWidth="9.296875" defaultRowHeight="14.4" x14ac:dyDescent="0.3"/>
  <cols>
    <col min="1" max="1" width="11.3984375" style="8" customWidth="1"/>
    <col min="2" max="2" width="1.59765625" style="8" customWidth="1"/>
    <col min="3" max="3" width="93.59765625" style="8" customWidth="1"/>
    <col min="4" max="4" width="20.69921875" style="8" customWidth="1"/>
    <col min="5" max="5" width="13.296875" style="8" customWidth="1"/>
    <col min="6" max="6" width="19.69921875" style="8" bestFit="1" customWidth="1"/>
    <col min="7" max="7" width="10.59765625" style="8" bestFit="1" customWidth="1"/>
    <col min="8" max="8" width="14.796875" style="8" bestFit="1" customWidth="1"/>
    <col min="9" max="9" width="10.59765625" style="8" customWidth="1"/>
    <col min="10" max="10" width="1.59765625" style="8" customWidth="1"/>
    <col min="11" max="11" width="7.296875" style="8" customWidth="1"/>
    <col min="12" max="16384" width="9.296875" style="8"/>
  </cols>
  <sheetData>
    <row r="1" spans="1:11" s="18" customFormat="1" ht="58.85" customHeight="1" x14ac:dyDescent="0.3">
      <c r="A1" s="52" t="s">
        <v>141</v>
      </c>
      <c r="B1" s="346" t="s">
        <v>294</v>
      </c>
      <c r="C1" s="346"/>
      <c r="D1" s="346"/>
      <c r="E1" s="346"/>
      <c r="F1" s="346"/>
      <c r="G1" s="346"/>
      <c r="H1" s="346"/>
      <c r="I1" s="346"/>
      <c r="J1" s="346"/>
      <c r="K1" s="346"/>
    </row>
    <row r="2" spans="1:11" s="18" customFormat="1" ht="13.3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0.55" customHeight="1" x14ac:dyDescent="0.3"/>
    <row r="4" spans="1:11" ht="14.95" thickBot="1" x14ac:dyDescent="0.35"/>
    <row r="5" spans="1:11" s="53" customFormat="1" ht="23.3" x14ac:dyDescent="0.3">
      <c r="B5" s="362"/>
      <c r="C5" s="364" t="s">
        <v>40</v>
      </c>
      <c r="D5" s="4" t="s">
        <v>43</v>
      </c>
      <c r="E5" s="4" t="s">
        <v>38</v>
      </c>
      <c r="F5" s="4" t="s">
        <v>43</v>
      </c>
      <c r="G5" s="4" t="s">
        <v>38</v>
      </c>
      <c r="H5" s="366" t="s">
        <v>295</v>
      </c>
      <c r="I5" s="366"/>
      <c r="J5" s="65"/>
    </row>
    <row r="6" spans="1:11" s="54" customFormat="1" ht="14.95" thickBot="1" x14ac:dyDescent="0.35">
      <c r="B6" s="363"/>
      <c r="C6" s="365"/>
      <c r="D6" s="20" t="s">
        <v>143</v>
      </c>
      <c r="E6" s="20">
        <v>2014</v>
      </c>
      <c r="F6" s="20" t="s">
        <v>144</v>
      </c>
      <c r="G6" s="20">
        <v>2015</v>
      </c>
      <c r="H6" s="255" t="s">
        <v>118</v>
      </c>
      <c r="I6" s="255" t="s">
        <v>117</v>
      </c>
      <c r="J6" s="59"/>
    </row>
    <row r="7" spans="1:11" s="55" customFormat="1" ht="3.75" customHeight="1" x14ac:dyDescent="0.3">
      <c r="B7" s="50"/>
      <c r="C7" s="51"/>
      <c r="D7" s="90"/>
      <c r="E7" s="90"/>
      <c r="F7" s="90"/>
      <c r="G7" s="90"/>
      <c r="H7" s="254"/>
      <c r="I7" s="254"/>
      <c r="J7" s="49"/>
    </row>
    <row r="8" spans="1:11" ht="21.75" customHeight="1" x14ac:dyDescent="0.3">
      <c r="C8" s="66" t="s" vm="48">
        <v>284</v>
      </c>
      <c r="D8" s="157" vm="669">
        <v>20715722.030000005</v>
      </c>
      <c r="E8" s="152">
        <v>2.96</v>
      </c>
      <c r="F8" s="157" vm="548">
        <v>13832485.58</v>
      </c>
      <c r="G8" s="152">
        <v>2.08</v>
      </c>
      <c r="H8" s="335">
        <v>-6883236.4500000048</v>
      </c>
      <c r="I8" s="256">
        <v>-33.227113397408345</v>
      </c>
    </row>
    <row r="9" spans="1:11" ht="21.75" customHeight="1" x14ac:dyDescent="0.3">
      <c r="C9" s="66" t="s" vm="45">
        <v>290</v>
      </c>
      <c r="D9" s="157" vm="667">
        <v>22813635.310000002</v>
      </c>
      <c r="E9" s="152">
        <v>3.26</v>
      </c>
      <c r="F9" s="157" vm="410">
        <v>30262963.919999998</v>
      </c>
      <c r="G9" s="152">
        <v>4.54</v>
      </c>
      <c r="H9" s="335">
        <v>7449328.6099999957</v>
      </c>
      <c r="I9" s="256">
        <v>32.652966126510734</v>
      </c>
    </row>
    <row r="10" spans="1:11" ht="21.75" customHeight="1" x14ac:dyDescent="0.3">
      <c r="C10" s="66" t="s" vm="36">
        <v>261</v>
      </c>
      <c r="D10" s="157" vm="661">
        <v>99748081.25999999</v>
      </c>
      <c r="E10" s="152">
        <v>14.26</v>
      </c>
      <c r="F10" s="157" vm="518">
        <v>91405358.069999993</v>
      </c>
      <c r="G10" s="152">
        <v>13.72</v>
      </c>
      <c r="H10" s="335">
        <v>-8342723.1899999976</v>
      </c>
      <c r="I10" s="256">
        <v>-8.3637931523255418</v>
      </c>
    </row>
    <row r="11" spans="1:11" ht="21.75" customHeight="1" x14ac:dyDescent="0.3">
      <c r="C11" s="66" t="s" vm="51">
        <v>263</v>
      </c>
      <c r="D11" s="157" vm="657">
        <v>41434.86</v>
      </c>
      <c r="E11" s="152">
        <v>0.01</v>
      </c>
      <c r="F11" s="157" vm="493">
        <v>200268.19999999998</v>
      </c>
      <c r="G11" s="152">
        <v>0.03</v>
      </c>
      <c r="H11" s="335">
        <v>158833.33999999997</v>
      </c>
      <c r="I11" s="256">
        <v>383.33263343957231</v>
      </c>
    </row>
    <row r="12" spans="1:11" ht="21.75" customHeight="1" x14ac:dyDescent="0.3">
      <c r="C12" s="66" t="s" vm="38">
        <v>266</v>
      </c>
      <c r="D12" s="157" vm="676">
        <v>1800</v>
      </c>
      <c r="E12" s="152">
        <v>0</v>
      </c>
      <c r="F12" s="157" vm="598">
        <v>434339.6</v>
      </c>
      <c r="G12" s="152">
        <v>7.0000000000000007E-2</v>
      </c>
      <c r="H12" s="335">
        <v>432539.6</v>
      </c>
      <c r="I12" s="256">
        <v>24029.977777777778</v>
      </c>
    </row>
    <row r="13" spans="1:11" ht="21.75" customHeight="1" x14ac:dyDescent="0.3">
      <c r="C13" s="66" t="s" vm="44">
        <v>273</v>
      </c>
      <c r="D13" s="157" vm="671">
        <v>17168559.859999999</v>
      </c>
      <c r="E13" s="152">
        <v>2.4500000000000002</v>
      </c>
      <c r="F13" s="157" vm="595">
        <v>16780861.300000001</v>
      </c>
      <c r="G13" s="152">
        <v>2.52</v>
      </c>
      <c r="H13" s="335">
        <v>-387698.55999999866</v>
      </c>
      <c r="I13" s="256">
        <v>-2.2581891734744488</v>
      </c>
    </row>
    <row r="14" spans="1:11" ht="21.75" customHeight="1" x14ac:dyDescent="0.3">
      <c r="C14" s="66" t="s" vm="35">
        <v>237</v>
      </c>
      <c r="D14" s="157" vm="655">
        <v>2527093.4099999997</v>
      </c>
      <c r="E14" s="152">
        <v>0.36</v>
      </c>
      <c r="F14" s="157" vm="429">
        <v>1907392.98</v>
      </c>
      <c r="G14" s="152">
        <v>0.28999999999999998</v>
      </c>
      <c r="H14" s="335">
        <v>-619700.4299999997</v>
      </c>
      <c r="I14" s="256">
        <v>-24.522260536463506</v>
      </c>
    </row>
    <row r="15" spans="1:11" ht="21.75" customHeight="1" x14ac:dyDescent="0.3">
      <c r="C15" s="66" t="s" vm="50">
        <v>241</v>
      </c>
      <c r="D15" s="157" vm="658">
        <v>38215800.850000009</v>
      </c>
      <c r="E15" s="152">
        <v>5.46</v>
      </c>
      <c r="F15" s="157" vm="629">
        <v>33524587.369999997</v>
      </c>
      <c r="G15" s="152">
        <v>5.03</v>
      </c>
      <c r="H15" s="335">
        <v>-4691213.4800000116</v>
      </c>
      <c r="I15" s="256">
        <v>-12.27558595046429</v>
      </c>
    </row>
    <row r="16" spans="1:11" ht="21.75" customHeight="1" x14ac:dyDescent="0.3">
      <c r="C16" s="66" t="s" vm="47">
        <v>255</v>
      </c>
      <c r="D16" s="157" vm="670">
        <v>69194994.76000002</v>
      </c>
      <c r="E16" s="152">
        <v>9.89</v>
      </c>
      <c r="F16" s="157" vm="575">
        <v>48855350.569999993</v>
      </c>
      <c r="G16" s="152">
        <v>7.33</v>
      </c>
      <c r="H16" s="335">
        <v>-20339644.190000027</v>
      </c>
      <c r="I16" s="256">
        <v>-29.394675526094389</v>
      </c>
    </row>
    <row r="17" spans="3:9" ht="21.75" customHeight="1" x14ac:dyDescent="0.3">
      <c r="C17" s="66" t="s" vm="43">
        <v>222</v>
      </c>
      <c r="D17" s="157" vm="660">
        <v>161290821.96000001</v>
      </c>
      <c r="E17" s="152">
        <v>23.06</v>
      </c>
      <c r="F17" s="157" vm="624">
        <v>154205054.05000001</v>
      </c>
      <c r="G17" s="152">
        <v>23.15</v>
      </c>
      <c r="H17" s="335">
        <v>-7085767.9099999964</v>
      </c>
      <c r="I17" s="256">
        <v>-4.3931625023011236</v>
      </c>
    </row>
    <row r="18" spans="3:9" ht="21.75" customHeight="1" x14ac:dyDescent="0.3">
      <c r="C18" s="66" t="s" vm="34">
        <v>225</v>
      </c>
      <c r="D18" s="157" vm="666">
        <v>0</v>
      </c>
      <c r="E18" s="152">
        <v>0</v>
      </c>
      <c r="F18" s="157" vm="540">
        <v>0</v>
      </c>
      <c r="G18" s="152">
        <v>0</v>
      </c>
      <c r="H18" s="335">
        <v>0</v>
      </c>
      <c r="I18" s="256" t="s">
        <v>145</v>
      </c>
    </row>
    <row r="19" spans="3:9" ht="21.75" customHeight="1" x14ac:dyDescent="0.3">
      <c r="C19" s="66" t="s" vm="39">
        <v>230</v>
      </c>
      <c r="D19" s="157" vm="654">
        <v>839324.23</v>
      </c>
      <c r="E19" s="152">
        <v>0.12</v>
      </c>
      <c r="F19" s="157" vm="611">
        <v>690759.95</v>
      </c>
      <c r="G19" s="152">
        <v>0.1</v>
      </c>
      <c r="H19" s="335">
        <v>-148564.28000000003</v>
      </c>
      <c r="I19" s="256">
        <v>-17.700463621787733</v>
      </c>
    </row>
    <row r="20" spans="3:9" ht="21.75" customHeight="1" x14ac:dyDescent="0.3">
      <c r="C20" s="66" t="s" vm="37">
        <v>217</v>
      </c>
      <c r="D20" s="157" vm="659">
        <v>22515391.73</v>
      </c>
      <c r="E20" s="152">
        <v>3.22</v>
      </c>
      <c r="F20" s="157" vm="612">
        <v>20107330.91</v>
      </c>
      <c r="G20" s="152">
        <v>3.02</v>
      </c>
      <c r="H20" s="335">
        <v>-2408060.8200000003</v>
      </c>
      <c r="I20" s="256">
        <v>-10.695176210465164</v>
      </c>
    </row>
    <row r="21" spans="3:9" ht="21.75" customHeight="1" x14ac:dyDescent="0.3">
      <c r="C21" s="66" t="s" vm="42">
        <v>177</v>
      </c>
      <c r="D21" s="157" vm="656">
        <v>735535.38000000012</v>
      </c>
      <c r="E21" s="152">
        <v>0.11</v>
      </c>
      <c r="F21" s="157" vm="568">
        <v>11073536.060000001</v>
      </c>
      <c r="G21" s="152">
        <v>1.66</v>
      </c>
      <c r="H21" s="335">
        <v>10338000.68</v>
      </c>
      <c r="I21" s="256">
        <v>1405.5069220463602</v>
      </c>
    </row>
    <row r="22" spans="3:9" ht="21.75" customHeight="1" x14ac:dyDescent="0.3">
      <c r="C22" s="66" t="s" vm="33">
        <v>180</v>
      </c>
      <c r="D22" s="157" vm="678">
        <v>658747.93000000005</v>
      </c>
      <c r="E22" s="152">
        <v>0.09</v>
      </c>
      <c r="F22" s="157" vm="424">
        <v>478186.36000000004</v>
      </c>
      <c r="G22" s="152">
        <v>7.0000000000000007E-2</v>
      </c>
      <c r="H22" s="335">
        <v>-180561.57</v>
      </c>
      <c r="I22" s="256">
        <v>-27.409812126468466</v>
      </c>
    </row>
    <row r="23" spans="3:9" ht="21.75" customHeight="1" x14ac:dyDescent="0.3">
      <c r="C23" s="66" t="s" vm="49">
        <v>187</v>
      </c>
      <c r="D23" s="157" vm="651">
        <v>2430894.0500000003</v>
      </c>
      <c r="E23" s="152">
        <v>0.35</v>
      </c>
      <c r="F23" s="157" vm="470">
        <v>3795902.6799999997</v>
      </c>
      <c r="G23" s="152">
        <v>0.56999999999999995</v>
      </c>
      <c r="H23" s="335">
        <v>1365008.6299999994</v>
      </c>
      <c r="I23" s="256">
        <v>56.152534907887059</v>
      </c>
    </row>
    <row r="24" spans="3:9" ht="21.75" customHeight="1" x14ac:dyDescent="0.3">
      <c r="C24" s="66" t="s" vm="46">
        <v>189</v>
      </c>
      <c r="D24" s="157" vm="679">
        <v>24271.43</v>
      </c>
      <c r="E24" s="152">
        <v>0</v>
      </c>
      <c r="F24" s="157" vm="649">
        <v>0</v>
      </c>
      <c r="G24" s="152">
        <v>0</v>
      </c>
      <c r="H24" s="335">
        <v>-24271.43</v>
      </c>
      <c r="I24" s="256" t="s">
        <v>145</v>
      </c>
    </row>
    <row r="25" spans="3:9" ht="21.75" customHeight="1" thickBot="1" x14ac:dyDescent="0.35">
      <c r="C25" s="83" t="s" vm="41">
        <v>194</v>
      </c>
      <c r="D25" s="163" vm="665">
        <v>1960138.97</v>
      </c>
      <c r="E25" s="153">
        <v>0.28000000000000003</v>
      </c>
      <c r="F25" s="163" vm="635">
        <v>3244384.3500000006</v>
      </c>
      <c r="G25" s="153">
        <v>0.49</v>
      </c>
      <c r="H25" s="336">
        <v>1284245.3800000006</v>
      </c>
      <c r="I25" s="257">
        <v>65.518078037089424</v>
      </c>
    </row>
    <row r="26" spans="3:9" ht="21.75" customHeight="1" x14ac:dyDescent="0.3">
      <c r="C26" s="84" t="s" vm="199">
        <v>153</v>
      </c>
      <c r="D26" s="164" vm="675">
        <v>217316679.46000001</v>
      </c>
      <c r="E26" s="154">
        <v>31.07</v>
      </c>
      <c r="F26" s="164" vm="430">
        <v>213242457.22</v>
      </c>
      <c r="G26" s="154">
        <v>32.01</v>
      </c>
      <c r="H26" s="337">
        <v>-4074222.2400000095</v>
      </c>
      <c r="I26" s="258">
        <v>-1.8747857965269077</v>
      </c>
    </row>
    <row r="27" spans="3:9" ht="21.75" customHeight="1" x14ac:dyDescent="0.3">
      <c r="C27" s="66" t="s" vm="182">
        <v>157</v>
      </c>
      <c r="D27" s="157" vm="664">
        <v>1229511</v>
      </c>
      <c r="E27" s="152">
        <v>0.18</v>
      </c>
      <c r="F27" s="157" vm="484">
        <v>1340548.5499999998</v>
      </c>
      <c r="G27" s="152">
        <v>0.2</v>
      </c>
      <c r="H27" s="335">
        <v>111037.54999999981</v>
      </c>
      <c r="I27" s="256">
        <v>9.0310334759103199</v>
      </c>
    </row>
    <row r="28" spans="3:9" ht="21.75" customHeight="1" x14ac:dyDescent="0.3">
      <c r="C28" s="66" t="s" vm="180">
        <v>161</v>
      </c>
      <c r="D28" s="157" vm="673">
        <v>4040913.04</v>
      </c>
      <c r="E28" s="152">
        <v>0.57999999999999996</v>
      </c>
      <c r="F28" s="157" vm="633">
        <v>3141899.95</v>
      </c>
      <c r="G28" s="152">
        <v>0.47</v>
      </c>
      <c r="H28" s="335">
        <v>-899013.08999999985</v>
      </c>
      <c r="I28" s="256">
        <v>-22.247771261120732</v>
      </c>
    </row>
    <row r="29" spans="3:9" ht="21.75" customHeight="1" x14ac:dyDescent="0.3">
      <c r="C29" s="66" t="s" vm="178">
        <v>163</v>
      </c>
      <c r="D29" s="157" vm="672">
        <v>1146803.24</v>
      </c>
      <c r="E29" s="152">
        <v>0.16</v>
      </c>
      <c r="F29" s="157" vm="415">
        <v>1142443.28</v>
      </c>
      <c r="G29" s="152">
        <v>0.17</v>
      </c>
      <c r="H29" s="335">
        <v>-4359.9599999999627</v>
      </c>
      <c r="I29" s="256">
        <v>-0.38018378810997433</v>
      </c>
    </row>
    <row r="30" spans="3:9" ht="21.75" customHeight="1" x14ac:dyDescent="0.3">
      <c r="C30" s="66" t="s" vm="177">
        <v>169</v>
      </c>
      <c r="D30" s="157" vm="677">
        <v>14810528.039999999</v>
      </c>
      <c r="E30" s="152">
        <v>2.12</v>
      </c>
      <c r="F30" s="157" vm="597">
        <v>16504997.870000001</v>
      </c>
      <c r="G30" s="152">
        <v>2.48</v>
      </c>
      <c r="H30" s="335">
        <v>1694469.8300000019</v>
      </c>
      <c r="I30" s="256">
        <v>11.440981884127339</v>
      </c>
    </row>
    <row r="31" spans="3:9" ht="21.75" customHeight="1" x14ac:dyDescent="0.3">
      <c r="C31" s="66" t="s" vm="174">
        <v>171</v>
      </c>
      <c r="D31" s="157" vm="668">
        <v>0</v>
      </c>
      <c r="E31" s="152">
        <v>0</v>
      </c>
      <c r="F31" s="157" vm="618">
        <v>0</v>
      </c>
      <c r="G31" s="152">
        <v>0</v>
      </c>
      <c r="H31" s="335">
        <v>0</v>
      </c>
      <c r="I31" s="256" t="s">
        <v>145</v>
      </c>
    </row>
    <row r="32" spans="3:9" ht="21.75" customHeight="1" x14ac:dyDescent="0.3">
      <c r="C32" s="66" t="s" vm="173">
        <v>296</v>
      </c>
      <c r="D32" s="157" vm="674">
        <v>0</v>
      </c>
      <c r="E32" s="152">
        <v>0</v>
      </c>
      <c r="F32" s="157" vm="645">
        <v>0</v>
      </c>
      <c r="G32" s="152">
        <v>0</v>
      </c>
      <c r="H32" s="335">
        <v>0</v>
      </c>
      <c r="I32" s="256" t="s">
        <v>145</v>
      </c>
    </row>
    <row r="33" spans="3:9" ht="21.75" customHeight="1" x14ac:dyDescent="0.3">
      <c r="C33" s="47" t="s" vm="40">
        <v>297</v>
      </c>
      <c r="D33" s="158" vm="653">
        <v>460882248.0200001</v>
      </c>
      <c r="E33" s="155">
        <v>65.89</v>
      </c>
      <c r="F33" s="158" vm="599">
        <v>430798761.95000005</v>
      </c>
      <c r="G33" s="155">
        <v>64.67</v>
      </c>
      <c r="H33" s="338">
        <v>-30083486.070000052</v>
      </c>
      <c r="I33" s="155">
        <v>-6.5273692356869759</v>
      </c>
    </row>
    <row r="34" spans="3:9" ht="21.75" customHeight="1" thickBot="1" x14ac:dyDescent="0.35">
      <c r="C34" s="47" t="s" vm="32">
        <v>298</v>
      </c>
      <c r="D34" s="158" vm="662">
        <v>238544434.78</v>
      </c>
      <c r="E34" s="155">
        <v>34.11</v>
      </c>
      <c r="F34" s="158" vm="531">
        <v>235372346.87</v>
      </c>
      <c r="G34" s="155">
        <v>35.33</v>
      </c>
      <c r="H34" s="338">
        <v>-3172087.9099999964</v>
      </c>
      <c r="I34" s="155">
        <v>-1.329768146938946</v>
      </c>
    </row>
    <row r="35" spans="3:9" ht="21.75" customHeight="1" x14ac:dyDescent="0.3">
      <c r="C35" s="85" t="s" vm="31">
        <v>299</v>
      </c>
      <c r="D35" s="159" vm="663">
        <v>699426682.80000007</v>
      </c>
      <c r="E35" s="156">
        <v>100</v>
      </c>
      <c r="F35" s="159" vm="538">
        <v>666171108.82000005</v>
      </c>
      <c r="G35" s="156">
        <v>100</v>
      </c>
      <c r="H35" s="339">
        <v>-33255573.980000019</v>
      </c>
      <c r="I35" s="156">
        <v>-4.7546904911989714</v>
      </c>
    </row>
    <row r="36" spans="3:9" x14ac:dyDescent="0.3">
      <c r="D36" s="86"/>
    </row>
    <row r="37" spans="3:9" x14ac:dyDescent="0.3">
      <c r="D37" s="86"/>
    </row>
    <row r="38" spans="3:9" x14ac:dyDescent="0.3">
      <c r="D38" s="86"/>
    </row>
    <row r="39" spans="3:9" x14ac:dyDescent="0.3">
      <c r="D39" s="86"/>
    </row>
    <row r="40" spans="3:9" x14ac:dyDescent="0.3">
      <c r="D40" s="86"/>
    </row>
    <row r="41" spans="3:9" x14ac:dyDescent="0.3">
      <c r="D41" s="86"/>
    </row>
    <row r="42" spans="3:9" x14ac:dyDescent="0.3">
      <c r="D42" s="86"/>
    </row>
    <row r="43" spans="3:9" x14ac:dyDescent="0.3">
      <c r="D43" s="86"/>
    </row>
    <row r="44" spans="3:9" x14ac:dyDescent="0.3">
      <c r="D44" s="86"/>
    </row>
    <row r="45" spans="3:9" x14ac:dyDescent="0.3">
      <c r="D45" s="86"/>
    </row>
    <row r="46" spans="3:9" x14ac:dyDescent="0.3">
      <c r="D46" s="86"/>
    </row>
    <row r="47" spans="3:9" x14ac:dyDescent="0.3">
      <c r="D47" s="86"/>
    </row>
    <row r="48" spans="3:9" x14ac:dyDescent="0.3">
      <c r="D48" s="86"/>
    </row>
    <row r="49" spans="4:4" x14ac:dyDescent="0.3">
      <c r="D49" s="86"/>
    </row>
    <row r="50" spans="4:4" x14ac:dyDescent="0.3">
      <c r="D50" s="86"/>
    </row>
    <row r="51" spans="4:4" x14ac:dyDescent="0.3">
      <c r="D51" s="86"/>
    </row>
    <row r="52" spans="4:4" x14ac:dyDescent="0.3">
      <c r="D52" s="86"/>
    </row>
    <row r="53" spans="4:4" x14ac:dyDescent="0.3">
      <c r="D53" s="86"/>
    </row>
    <row r="54" spans="4:4" x14ac:dyDescent="0.3">
      <c r="D54" s="86"/>
    </row>
    <row r="55" spans="4:4" x14ac:dyDescent="0.3">
      <c r="D55" s="86"/>
    </row>
    <row r="56" spans="4:4" x14ac:dyDescent="0.3">
      <c r="D56" s="86"/>
    </row>
    <row r="57" spans="4:4" x14ac:dyDescent="0.3">
      <c r="D57" s="86"/>
    </row>
    <row r="58" spans="4:4" x14ac:dyDescent="0.3">
      <c r="D58" s="86"/>
    </row>
    <row r="59" spans="4:4" x14ac:dyDescent="0.3">
      <c r="D59" s="86"/>
    </row>
    <row r="60" spans="4:4" x14ac:dyDescent="0.3">
      <c r="D60" s="86"/>
    </row>
    <row r="61" spans="4:4" x14ac:dyDescent="0.3">
      <c r="D61" s="86"/>
    </row>
    <row r="62" spans="4:4" x14ac:dyDescent="0.3">
      <c r="D62" s="86"/>
    </row>
    <row r="63" spans="4:4" x14ac:dyDescent="0.3">
      <c r="D63" s="86"/>
    </row>
    <row r="64" spans="4:4" x14ac:dyDescent="0.3">
      <c r="D64" s="86"/>
    </row>
    <row r="65" spans="4:4" x14ac:dyDescent="0.3">
      <c r="D65" s="86"/>
    </row>
    <row r="66" spans="4:4" x14ac:dyDescent="0.3">
      <c r="D66" s="86"/>
    </row>
    <row r="67" spans="4:4" x14ac:dyDescent="0.3">
      <c r="D67" s="86"/>
    </row>
    <row r="68" spans="4:4" x14ac:dyDescent="0.3">
      <c r="D68" s="86"/>
    </row>
    <row r="69" spans="4:4" x14ac:dyDescent="0.3">
      <c r="D69" s="86"/>
    </row>
    <row r="70" spans="4:4" x14ac:dyDescent="0.3">
      <c r="D70" s="86"/>
    </row>
    <row r="71" spans="4:4" x14ac:dyDescent="0.3">
      <c r="D71" s="86"/>
    </row>
    <row r="72" spans="4:4" x14ac:dyDescent="0.3">
      <c r="D72" s="86"/>
    </row>
    <row r="73" spans="4:4" x14ac:dyDescent="0.3">
      <c r="D73" s="86"/>
    </row>
    <row r="74" spans="4:4" x14ac:dyDescent="0.3">
      <c r="D74" s="86"/>
    </row>
    <row r="75" spans="4:4" x14ac:dyDescent="0.3">
      <c r="D75" s="86"/>
    </row>
    <row r="76" spans="4:4" x14ac:dyDescent="0.3">
      <c r="D76" s="86"/>
    </row>
    <row r="77" spans="4:4" x14ac:dyDescent="0.3">
      <c r="D77" s="86"/>
    </row>
    <row r="78" spans="4:4" x14ac:dyDescent="0.3">
      <c r="D78" s="86"/>
    </row>
    <row r="79" spans="4:4" x14ac:dyDescent="0.3">
      <c r="D79" s="86"/>
    </row>
    <row r="80" spans="4:4" x14ac:dyDescent="0.3">
      <c r="D80" s="86"/>
    </row>
    <row r="81" spans="4:4" x14ac:dyDescent="0.3">
      <c r="D81" s="86"/>
    </row>
    <row r="82" spans="4:4" x14ac:dyDescent="0.3">
      <c r="D82" s="86"/>
    </row>
    <row r="83" spans="4:4" x14ac:dyDescent="0.3">
      <c r="D83" s="86"/>
    </row>
    <row r="84" spans="4:4" x14ac:dyDescent="0.3">
      <c r="D84" s="86"/>
    </row>
    <row r="85" spans="4:4" x14ac:dyDescent="0.3">
      <c r="D85" s="86"/>
    </row>
    <row r="86" spans="4:4" x14ac:dyDescent="0.3">
      <c r="D86" s="86"/>
    </row>
    <row r="87" spans="4:4" x14ac:dyDescent="0.3">
      <c r="D87" s="86"/>
    </row>
    <row r="88" spans="4:4" x14ac:dyDescent="0.3">
      <c r="D88" s="86"/>
    </row>
    <row r="89" spans="4:4" x14ac:dyDescent="0.3">
      <c r="D89" s="86"/>
    </row>
    <row r="90" spans="4:4" x14ac:dyDescent="0.3">
      <c r="D90" s="86"/>
    </row>
    <row r="91" spans="4:4" x14ac:dyDescent="0.3">
      <c r="D91" s="86"/>
    </row>
    <row r="92" spans="4:4" x14ac:dyDescent="0.3">
      <c r="D92" s="86"/>
    </row>
    <row r="93" spans="4:4" x14ac:dyDescent="0.3">
      <c r="D93" s="86"/>
    </row>
    <row r="94" spans="4:4" x14ac:dyDescent="0.3">
      <c r="D94" s="86"/>
    </row>
    <row r="95" spans="4:4" x14ac:dyDescent="0.3">
      <c r="D95" s="86"/>
    </row>
    <row r="96" spans="4:4" x14ac:dyDescent="0.3">
      <c r="D96" s="86"/>
    </row>
    <row r="97" spans="4:4" x14ac:dyDescent="0.3">
      <c r="D97" s="86"/>
    </row>
    <row r="98" spans="4:4" x14ac:dyDescent="0.3">
      <c r="D98" s="86"/>
    </row>
    <row r="99" spans="4:4" x14ac:dyDescent="0.3">
      <c r="D99" s="86"/>
    </row>
    <row r="100" spans="4:4" x14ac:dyDescent="0.3">
      <c r="D100" s="86"/>
    </row>
    <row r="101" spans="4:4" x14ac:dyDescent="0.3">
      <c r="D101" s="86"/>
    </row>
    <row r="102" spans="4:4" x14ac:dyDescent="0.3">
      <c r="D102" s="86"/>
    </row>
    <row r="103" spans="4:4" x14ac:dyDescent="0.3">
      <c r="D103" s="86"/>
    </row>
    <row r="104" spans="4:4" x14ac:dyDescent="0.3">
      <c r="D104" s="86"/>
    </row>
    <row r="105" spans="4:4" x14ac:dyDescent="0.3">
      <c r="D105" s="86"/>
    </row>
    <row r="106" spans="4:4" x14ac:dyDescent="0.3">
      <c r="D106" s="86"/>
    </row>
    <row r="107" spans="4:4" x14ac:dyDescent="0.3">
      <c r="D107" s="86"/>
    </row>
    <row r="108" spans="4:4" x14ac:dyDescent="0.3">
      <c r="D108" s="86"/>
    </row>
    <row r="109" spans="4:4" x14ac:dyDescent="0.3">
      <c r="D109" s="86"/>
    </row>
    <row r="110" spans="4:4" x14ac:dyDescent="0.3">
      <c r="D110" s="86"/>
    </row>
    <row r="111" spans="4:4" x14ac:dyDescent="0.3">
      <c r="D111" s="86"/>
    </row>
    <row r="112" spans="4:4" x14ac:dyDescent="0.3">
      <c r="D112" s="86"/>
    </row>
    <row r="113" spans="4:4" x14ac:dyDescent="0.3">
      <c r="D113" s="86"/>
    </row>
    <row r="114" spans="4:4" x14ac:dyDescent="0.3">
      <c r="D114" s="86"/>
    </row>
    <row r="115" spans="4:4" x14ac:dyDescent="0.3">
      <c r="D115" s="86"/>
    </row>
    <row r="116" spans="4:4" x14ac:dyDescent="0.3">
      <c r="D116" s="86"/>
    </row>
    <row r="117" spans="4:4" x14ac:dyDescent="0.3">
      <c r="D117" s="86"/>
    </row>
    <row r="118" spans="4:4" x14ac:dyDescent="0.3">
      <c r="D118" s="86"/>
    </row>
    <row r="119" spans="4:4" x14ac:dyDescent="0.3">
      <c r="D119" s="86"/>
    </row>
    <row r="120" spans="4:4" x14ac:dyDescent="0.3">
      <c r="D120" s="86"/>
    </row>
    <row r="121" spans="4:4" x14ac:dyDescent="0.3">
      <c r="D121" s="86"/>
    </row>
    <row r="122" spans="4:4" x14ac:dyDescent="0.3">
      <c r="D122" s="86"/>
    </row>
    <row r="123" spans="4:4" x14ac:dyDescent="0.3">
      <c r="D123" s="86"/>
    </row>
    <row r="124" spans="4:4" x14ac:dyDescent="0.3">
      <c r="D124" s="86"/>
    </row>
    <row r="125" spans="4:4" x14ac:dyDescent="0.3">
      <c r="D125" s="86"/>
    </row>
    <row r="126" spans="4:4" x14ac:dyDescent="0.3">
      <c r="D126" s="86"/>
    </row>
    <row r="127" spans="4:4" x14ac:dyDescent="0.3">
      <c r="D127" s="86"/>
    </row>
    <row r="128" spans="4:4" x14ac:dyDescent="0.3">
      <c r="D128" s="86"/>
    </row>
    <row r="129" spans="4:4" x14ac:dyDescent="0.3">
      <c r="D129" s="86"/>
    </row>
    <row r="130" spans="4:4" x14ac:dyDescent="0.3">
      <c r="D130" s="86"/>
    </row>
    <row r="131" spans="4:4" x14ac:dyDescent="0.3">
      <c r="D131" s="86"/>
    </row>
  </sheetData>
  <mergeCells count="4">
    <mergeCell ref="B1:K1"/>
    <mergeCell ref="B5:B6"/>
    <mergeCell ref="C5:C6"/>
    <mergeCell ref="H5:I5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5" orientation="landscape" r:id="rId1"/>
  <customProperties>
    <customPr name="Version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e 0 c 5 e f e 4 - 3 0 3 8 - 4 d 3 9 - a 8 c 4 - 6 4 5 c b 8 9 5 5 f 2 5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 R e d n i B r o j U c e s t a l o s t i P o d a t k a < / s t r i n g > < / k e y > < v a l u e > < s t r i n g > G e n e r a l < / s t r i n g > < / v a l u e > < / i t e m > < i t e m > < k e y > < s t r i n g > I D U c e s t a l o s t i P o d a t k a < / s t r i n g > < / k e y > < v a l u e > < s t r i n g > G e n e r a l < / s t r i n g > < / v a l u e > < / i t e m > < i t e m > < k e y > < s t r i n g > U c e s t a l o s t P o d a t k a < / s t r i n g > < / k e y > < v a l u e > < s t r i n g > T e x t 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 R e d n i B r o j U c e s t a l o s t i P o d a t k a < / s t r i n g > < / k e y > < v a l u e > < i n t > 0 < / i n t > < / v a l u e > < / i t e m > < i t e m > < k e y > < s t r i n g > I D U c e s t a l o s t i P o d a t k a < / s t r i n g > < / k e y > < v a l u e > < i n t > 0 < / i n t > < / v a l u e > < / i t e m > < i t e m > < k e y > < s t r i n g > U c e s t a l o s t P o d a t k a 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 R e d n i B r o j U c e s t a l o s t i P o d a t k a < / s t r i n g > < / k e y > < v a l u e > < s t r i n g > k n < / s t r i n g > < / v a l u e > < / i t e m > < i t e m > < k e y > < s t r i n g > I D U c e s t a l o s t i P o d a t k a < / s t r i n g > < / k e y > < v a l u e > < s t r i n g > k n < / s t r i n g > < / v a l u e > < / i t e m > < i t e m > < k e y > < s t r i n g > U c e s t a l o s t P o d a t k a < / s t r i n g > < / k e y > < v a l u e > < s t r i n g > k n < / s t r i n g > < / v a l u e > < / i t e m > < i t e m > < k e y > < s t r i n g > A d d   C o l u m n < / s t r i n g > < / k e y > < v a l u e > < s t r i n g > k n < / s t r i n g > < / v a l u e > < / i t e m > < / C o l u m n C u r r e n c y S y m b o l > < C o l u m n P o s i t i v e P a t t e r n > < i t e m > < k e y > < s t r i n g > R e d n i B r o j U c e s t a l o s t i P o d a t k a < / s t r i n g > < / k e y > < v a l u e > < i n t > 3 < / i n t > < / v a l u e > < / i t e m > < i t e m > < k e y > < s t r i n g > I D U c e s t a l o s t i P o d a t k a < / s t r i n g > < / k e y > < v a l u e > < i n t > 3 < / i n t > < / v a l u e > < / i t e m > < i t e m > < k e y > < s t r i n g > U c e s t a l o s t P o d a t k a 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 R e d n i B r o j U c e s t a l o s t i P o d a t k a < / s t r i n g > < / k e y > < v a l u e > < i n t > 8 < / i n t > < / v a l u e > < / i t e m > < i t e m > < k e y > < s t r i n g > I D U c e s t a l o s t i P o d a t k a < / s t r i n g > < / k e y > < v a l u e > < i n t > 8 < / i n t > < / v a l u e > < / i t e m > < i t e m > < k e y > < s t r i n g > U c e s t a l o s t P o d a t k a 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 R e d n i B r o j U c e s t a l o s t i P o d a t k a < / s t r i n g > < / k e y > < v a l u e > < i n t > 2 1 1 < / i n t > < / v a l u e > < / i t e m > < i t e m > < k e y > < s t r i n g > I D U c e s t a l o s t i P o d a t k a < / s t r i n g > < / k e y > < v a l u e > < i n t > 1 6 3 < / i n t > < / v a l u e > < / i t e m > < i t e m > < k e y > < s t r i n g > U c e s t a l o s t P o d a t k a < / s t r i n g > < / k e y > < v a l u e > < i n t > 1 4 7 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 R e d n i B r o j U c e s t a l o s t i P o d a t k a < / s t r i n g > < / k e y > < v a l u e > < i n t > 0 < / i n t > < / v a l u e > < / i t e m > < i t e m > < k e y > < s t r i n g > I D U c e s t a l o s t i P o d a t k a < / s t r i n g > < / k e y > < v a l u e > < i n t > 1 < / i n t > < / v a l u e > < / i t e m > < i t e m > < k e y > < s t r i n g > U c e s t a l o s t P o d a t k a < / s t r i n g > < / k e y > < v a l u e > < i n t > 2 < / i n t > < / v a l u e > < / i t e m > < i t e m > < k e y > < s t r i n g > A d d   C o l u m n 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w o r k b o o k c u s t o m i z a t i o n / M e t a d a t a R e c o v e r y I n f o r m a t i o n " > < C u s t o m C o n t e n t > < ! [ C D A T A [ < ? x m l   v e r s i o n = " 1 . 0 "   e n c o d i n g = " u t f - 1 6 " ? > < C r e a t e   A l l o w O v e r w r i t e = " t r u e "   x m l n s = " h t t p : / / s c h e m a s . m i c r o s o f t . c o m / a n a l y s i s s e r v i c e s / 2 0 0 3 / e n g i n e " > < O b j e c t D e f i n i t i o n > < D a t a b a s e   x m l n s : x s d = " h t t p : / / w w w . w 3 . o r g / 2 0 0 1 / X M L S c h e m a "   x m l n s : x s i = " h t t p : / / w w w . w 3 . o r g / 2 0 0 1 / X M L S c h e m a - i n s t a n c e "   x m l n s : d d l 2 = " h t t p : / / s c h e m a s . m i c r o s o f t . c o m / a n a l y s i s s e r v i c e s / 2 0 0 3 / e n g i n e / 2 "   x m l n s : d d l 2 _ 2 = " h t t p : / / s c h e m a s . m i c r o s o f t . c o m / a n a l y s i s s e r v i c e s / 2 0 0 3 / e n g i n e / 2 / 2 "   x m l n s : d d l 1 0 0 _ 1 0 0 = " h t t p : / / s c h e m a s . m i c r o s o f t . c o m / a n a l y s i s s e r v i c e s / 2 0 0 8 / e n g i n e / 1 0 0 / 1 0 0 "   x m l n s : d d l 2 0 0 = " h t t p : / / s c h e m a s . m i c r o s o f t . c o m / a n a l y s i s s e r v i c e s / 2 0 1 0 / e n g i n e / 2 0 0 "   x m l n s : d d l 2 0 0 _ 2 0 0 = " h t t p : / / s c h e m a s . m i c r o s o f t . c o m / a n a l y s i s s e r v i c e s / 2 0 1 0 / e n g i n e / 2 0 0 / 2 0 0 " > < I D > 7 C B E 3 8 A D 2 E D A 4 9 F 8 B A 3 2 < / I D > < N a m e > M i c r o s o f t _ S Q L S e r v e r _ A n a l y s i s S e r v i c e s < / N a m e > < L a n g u a g e > 1 0 5 0 < / L a n g u a g e > < D a t a S o u r c e I m p e r s o n a t i o n I n f o > < I m p e r s o n a t i o n M o d e > D e f a u l t < / I m p e r s o n a t i o n M o d e > < / D a t a S o u r c e I m p e r s o n a t i o n I n f o > < D i m e n s i o n s > < D i m e n s i o n > < I D > 3 5 1 d 1 d 8 5 - 2 1 c e - 4 a 4 9 - 9 5 1 d - a 5 d 6 f f 5 5 f 7 e c < / I D > < N a m e > D r u at v a < / N a m e > < A n n o t a t i o n s > < A n n o t a t i o n > < N a m e > T a b l e W i d g e t S e r i a l i z a t i o n < / N a m e > < / A n n o t a t i o n > < A n n o t a t i o n > < N a m e > Q u e r y E d i t o r S e r i a l i z a t i o n < / N a m e > < V a l u e > & l t ; ? x m l   v e r s i o n = " 1 . 0 "   e n c o d i n g = " U T F - 1 6 " ? & g t ; & l t ; G e m i n i   x m l n s = " Q u e r y E d i t o r S e r i a l i z a t i o n " & g t ; & l t ; A n n o t a t i o n C o n t e n t & g t ; & l t ; ! [ C D A T A [ & l t ; R S Q u e r y C o m m a n d T e x t & g t ; S E L E C T  
     d D r u s t v a . N a z i v D r u s t v a  
     , d D r u s t v a . I D D r u s t v o  
     , d D r u s t v a . C l a n s t v o H U O  
 F R O M  
     d D r u s t v a  
 W H E R E  
     d D r u s t v a . I D   L I K E   N ' H R % ' & l t ; / R S Q u e r y C o m m a n d T e x t & g t ; & l t ; R S Q u e r y C o m m a n d T y p e & g t ; T e x t & l t ; / R S Q u e r y C o m m a n d T y p e & g t ; & l t ; R S Q u e r y D e s i g n S t a t e & g t ; & l t ; D e s i g n e r S t a t e & g t ; & l t ; U s e G e n e r i c D e s i g n e r & g t ; f a l s e & l t ; / U s e G e n e r i c D e s i g n e r & g t ; & l t ; I n t e r n a l D e s i g n e r S t a t e & g t ; & l t ; Q u e r y D e f i n i t i o n   x m l n s = " h t t p : / / s c h e m a s . m i c r o s o f t . c o m / R e p o r t i n g S e r v i c e s / Q u e r y D e f i n i t i o n / R e l a t i o n a l " & g t ; & l t ; S e l e c t e d C o l u m n s & g t ; & l t ; C o l u m n E x p r e s s i o n   C o l u m n O w n e r = " d D r u s t v a "   C o l u m n N a m e = " N a z i v D r u s t v a "   / & g t ; & l t ; C o l u m n E x p r e s s i o n   C o l u m n O w n e r = " d D r u s t v a "   C o l u m n N a m e = " I D D r u s t v o "   / & g t ; & l t ; C o l u m n E x p r e s s i o n   C o l u m n O w n e r = " d D r u s t v a "   C o l u m n N a m e = " C l a n s t v o H U O "   / & g t ; & l t ; / S e l e c t e d C o l u m n s & g t ; & l t ; F i l t e r s & g t ; & l t ; F i l t e r   O p e r a t o r = " L I K E " & g t ; & l t ; C o l u m n E x p r e s s i o n   C o l u m n O w n e r = " d D r u s t v a "   C o l u m n N a m e = " I D "   / & g t ; & l t ; F i l t e r V a l u e & g t ; H R % & l t ; / F i l t e r V a l u e & g t ; & l t ; / F i l t e r & g t ; & l t ; / F i l t e r s & g t ; & l t ; / Q u e r y D e f i n i t i o n & g t ; & l t ; / I n t e r n a l D e s i g n e r S t a t e & g t ; & l t ; / D e s i g n e r S t a t e & g t ; & l t ; / R S Q u e r y D e s i g n S t a t e & g t ; ] ] & g t ; & l t ; / A n n o t a t i o n C o n t e n t & g t ; & l t ; / G e m i n i & g t ; < / V a l u e > < / A n n o t a t i o n > < A n n o t a t i o n > < N a m e > I s Q u e r y E d i t o r U s e d < / N a m e > < V a l u e > T r u e < / V a l u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 1 0 5 0 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 N a z i v D r u s t v a < / A t t r i b u t e I D > < O v e r r i d e B e h a v i o r > N o n e < / O v e r r i d e B e h a v i o r > < N a m e > N a z i v D r u s t v a < / N a m e > < / A t t r i b u t e R e l a t i o n s h i p > < A t t r i b u t e R e l a t i o n s h i p > < A t t r i b u t e I D > I D D r u s t v o < / A t t r i b u t e I D > < O v e r r i d e B e h a v i o r > N o n e < / O v e r r i d e B e h a v i o r > < N a m e > I D D r u s t v o < / N a m e > < / A t t r i b u t e R e l a t i o n s h i p > < A t t r i b u t e R e l a t i o n s h i p > < A t t r i b u t e I D > C l a n s t v o H U O < / A t t r i b u t e I D > < O v e r r i d e B e h a v i o r > N o n e < / O v e r r i d e B e h a v i o r > < N a m e > C l a n s t v o H U O 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 N a z i v D r u s t v a < / I D > < N a m e > N a z i v D r u s t v a 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N a m e C o l u m n > < O r d e r B y > K e y < / O r d e r B y > < / A t t r i b u t e > < A t t r i b u t e > < I D > I D D r u s t v o < / I D > < N a m e > I D D r u s t v o 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N a m e C o l u m n > < O r d e r B y > K e y < / O r d e r B y > < / A t t r i b u t e > < A t t r i b u t e > < I D > C l a n s t v o H U O < / I D > < N a m e > C l a n s t v o H U O < / N a m e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D i m e n s i o n > < I D > e 0 c 5 e f e 4 - 3 0 3 8 - 4 d 3 9 - a 8 c 4 - 6 4 5 c b 8 9 5 5 f 2 5 < / I D > < N a m e > U c e s t a l o s t _ p o d a t a k a < / N a m e > < A n n o t a t i o n s > < A n n o t a t i o n > < N a m e > I s Q u e r y E d i t o r U s e d < / N a m e > < V a l u e > T r u e < / V a l u e > < / A n n o t a t i o n > < A n n o t a t i o n > < N a m e > Q u e r y E d i t o r S e r i a l i z a t i o n < / N a m e > < V a l u e > & l t ; ? x m l   v e r s i o n = " 1 . 0 "   e n c o d i n g = " U T F - 1 6 " ? & g t ; & l t ; G e m i n i   x m l n s = " Q u e r y E d i t o r S e r i a l i z a t i o n " & g t ; & l t ; A n n o t a t i o n C o n t e n t & g t ; & l t ; ! [ C D A T A [ & l t ; R S Q u e r y C o m m a n d T e x t & g t ; S E L E C T  
     s U c e s t a l o s t P o d a t a k a . R e d n i B r o j U c e s t a l o s t i P o d a t k a  
     , s U c e s t a l o s t P o d a t a k a . I D U c e s t a l o s t i P o d a t k a  
     , s U c e s t a l o s t P o d a t a k a . U c e s t a l o s t P o d a t k a  
 F R O M  
     s U c e s t a l o s t P o d a t a k a  
 W H E R E  
     s U c e s t a l o s t P o d a t a k a . U c e s t a l o s t P o d a t k a   =   N ' G O D ' & l t ; / R S Q u e r y C o m m a n d T e x t & g t ; & l t ; R S Q u e r y C o m m a n d T y p e & g t ; T e x t & l t ; / R S Q u e r y C o m m a n d T y p e & g t ; & l t ; R S Q u e r y D e s i g n S t a t e & g t ; & l t ; D e s i g n e r S t a t e & g t ; & l t ; U s e G e n e r i c D e s i g n e r & g t ; f a l s e & l t ; / U s e G e n e r i c D e s i g n e r & g t ; & l t ; I n t e r n a l D e s i g n e r S t a t e & g t ; & l t ; Q u e r y D e f i n i t i o n   x m l n s = " h t t p : / / s c h e m a s . m i c r o s o f t . c o m / R e p o r t i n g S e r v i c e s / Q u e r y D e f i n i t i o n / R e l a t i o n a l " & g t ; & l t ; S e l e c t e d C o l u m n s & g t ; & l t ; C o l u m n E x p r e s s i o n   C o l u m n O w n e r = " s U c e s t a l o s t P o d a t a k a "   C o l u m n N a m e = " R e d n i B r o j U c e s t a l o s t i P o d a t k a "   / & g t ; & l t ; C o l u m n E x p r e s s i o n   C o l u m n O w n e r = " s U c e s t a l o s t P o d a t a k a "   C o l u m n N a m e = " I D U c e s t a l o s t i P o d a t k a "   / & g t ; & l t ; C o l u m n E x p r e s s i o n   C o l u m n O w n e r = " s U c e s t a l o s t P o d a t a k a "   C o l u m n N a m e = " U c e s t a l o s t P o d a t k a "   / & g t ; & l t ; / S e l e c t e d C o l u m n s & g t ; & l t ; F i l t e r s & g t ; & l t ; F i l t e r   O p e r a t o r = " = " & g t ; & l t ; C o l u m n E x p r e s s i o n   C o l u m n O w n e r = " s U c e s t a l o s t P o d a t a k a "   C o l u m n N a m e = " U c e s t a l o s t P o d a t k a "   / & g t ; & l t ; F i l t e r V a l u e & g t ; G O D & l t ; / F i l t e r V a l u e & g t ; & l t ; / F i l t e r & g t ; & l t ; / F i l t e r s & g t ; & l t ; / Q u e r y D e f i n i t i o n & g t ; & l t ; / I n t e r n a l D e s i g n e r S t a t e & g t ; & l t ; / D e s i g n e r S t a t e & g t ; & l t ; / R S Q u e r y D e s i g n S t a t e & g t ; ] ] & g t ; & l t ; / A n n o t a t i o n C o n t e n t & g t ; & l t ; / G e m i n i & g t ; < / V a l u e > < / A n n o t a t i o n > < A n n o t a t i o n > < N a m e > T a b l e W i d g e t S e r i a l i z a t i o n < / N a m e > < / A n n o t a t i o n > < / A n n o t a t i o n s > < S o u r c e   x s i : t y p e = " D a t a S o u r c e V i e w B i n d i n g " > < D a t a S o u r c e V i e w I D > S a n d b o x < / D a t a S o u r c e V i e w I D > < / S o u r c e > < U n k n o w n M e m b e r   v a l u e n s = " d d l 2 0 0 _ 2 0 0 " > A u t o m a t i c N u l l < / U n k n o w n M e m b e r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S t o r a g e M o d e   v a l u e n s = " d d l 2 0 0 _ 2 0 0 " > I n M e m o r y < / S t o r a g e M o d e > < L a n g u a g e > 1 0 5 0 < / L a n g u a g e > < U n k n o w n M e m b e r N a m e > U n k n o w n < / U n k n o w n M e m b e r N a m e > < A t t r i b u t e s > < A t t r i b u t e > < I D > R o w N u m b e r < / I D > < N a m e > R o w N u m b e r < / N a m e > < T y p e   v a l u e n s = " d d l 2 0 0 _ 2 0 0 " > R o w N u m b e r < / T y p e > < U s a g e > K e y < / U s a g e > < K e y C o l u m n s > < K e y C o l u m n > < N u l l P r o c e s s i n g > E r r o r < / N u l l P r o c e s s i n g > < D a t a T y p e > I n t e g e r < / D a t a T y p e > < D a t a S i z e > 4 < / D a t a S i z e > < S o u r c e   x s i : t y p e = " d d l 2 0 0 _ 2 0 0 : R o w N u m b e r B i n d i n g "   / > < / K e y C o l u m n > < / K e y C o l u m n s > < N a m e C o l u m n > < N u l l P r o c e s s i n g > Z e r o O r B l a n k < / N u l l P r o c e s s i n g > < D a t a T y p e > W C h a r < / D a t a T y p e > < D a t a S i z e > 4 < / D a t a S i z e > < S o u r c e   x s i : t y p e = " d d l 2 0 0 _ 2 0 0 : R o w N u m b e r B i n d i n g "   / > < / N a m e C o l u m n > < A t t r i b u t e R e l a t i o n s h i p s > < A t t r i b u t e R e l a t i o n s h i p > < A t t r i b u t e I D > R e d n i B r o j U c e s t a l o s t i P o d a t k a < / A t t r i b u t e I D > < O v e r r i d e B e h a v i o r > N o n e < / O v e r r i d e B e h a v i o r > < N a m e > R e d n i B r o j U c e s t a l o s t i P o d a t k a < / N a m e > < / A t t r i b u t e R e l a t i o n s h i p > < A t t r i b u t e R e l a t i o n s h i p > < A t t r i b u t e I D > I D U c e s t a l o s t i P o d a t k a < / A t t r i b u t e I D > < O v e r r i d e B e h a v i o r > N o n e < / O v e r r i d e B e h a v i o r > < N a m e > I D U c e s t a l o s t i P o d a t k a < / N a m e > < / A t t r i b u t e R e l a t i o n s h i p > < A t t r i b u t e R e l a t i o n s h i p > < A t t r i b u t e I D > U c e s t a l o s t P o d a t k a < / A t t r i b u t e I D > < O v e r r i d e B e h a v i o r > N o n e < / O v e r r i d e B e h a v i o r > < N a m e > U c e s t a l o s t P o d a t k a < / N a m e > < / A t t r i b u t e R e l a t i o n s h i p > < / A t t r i b u t e R e l a t i o n s h i p s > < O r d e r B y > K e y < / O r d e r B y > < A t t r i b u t e H i e r a r c h y V i s i b l e > f a l s e < / A t t r i b u t e H i e r a r c h y V i s i b l e > < / A t t r i b u t e > < A t t r i b u t e > < I D > R e d n i B r o j U c e s t a l o s t i P o d a t k a < / I D > < N a m e > R e d n i B r o j U c e s t a l o s t i P o d a t k a 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N a m e C o l u m n > < O r d e r B y > K e y < / O r d e r B y > < / A t t r i b u t e > < A t t r i b u t e > < I D > I D U c e s t a l o s t i P o d a t k a < / I D > < N a m e > I D U c e s t a l o s t i P o d a t k a < / N a m e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N a m e C o l u m n > < O r d e r B y > K e y < / O r d e r B y > < / A t t r i b u t e > < A t t r i b u t e > < I D > U c e s t a l o s t P o d a t k a < / I D > < N a m e > U c e s t a l o s t P o d a t k a < / N a m e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K e y C o l u m n > < / K e y C o l u m n s > < N a m e C o l u m n > < N u l l P r o c e s s i n g > Z e r o O r B l a n k 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N a m e C o l u m n > < O r d e r B y > K e y < / O r d e r B y > < / A t t r i b u t e > < / A t t r i b u t e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D i m e n s i o n > < / D i m e n s i o n s > < C u b e s > < C u b e > < I D > S a n d b o x < / I D > < N a m e > S a n d b o x < / N a m e > < L a n g u a g e > 1 0 5 0 < / L a n g u a g e > < D i m e n s i o n s > < D i m e n s i o n > < I D > 3 5 1 d 1 d 8 5 - 2 1 c e - 4 a 4 9 - 9 5 1 d - a 5 d 6 f f 5 5 f 7 e c < / I D > < N a m e > D r u at v a < / N a m e > < D i m e n s i o n I D > 3 5 1 d 1 d 8 5 - 2 1 c e - 4 a 4 9 - 9 5 1 d - a 5 d 6 f f 5 5 f 7 e c 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 N a z i v D r u s t v a < / A t t r i b u t e I D > < / A t t r i b u t e > < A t t r i b u t e > < A t t r i b u t e I D > I D D r u s t v o < / A t t r i b u t e I D > < / A t t r i b u t e > < A t t r i b u t e > < A t t r i b u t e I D > C l a n s t v o H U O < / A t t r i b u t e I D > < / A t t r i b u t e > < / A t t r i b u t e s > < / D i m e n s i o n > < D i m e n s i o n > < I D > e 0 c 5 e f e 4 - 3 0 3 8 - 4 d 3 9 - a 8 c 4 - 6 4 5 c b 8 9 5 5 f 2 5 < / I D > < N a m e > U c e s t a l o s t _ p o d a t a k a < / N a m e > < D i m e n s i o n I D > e 0 c 5 e f e 4 - 3 0 3 8 - 4 d 3 9 - a 8 c 4 - 6 4 5 c b 8 9 5 5 f 2 5 < / D i m e n s i o n I D > < A t t r i b u t e s > < A t t r i b u t e > < A t t r i b u t e I D > R o w N u m b e r < / A t t r i b u t e I D > < A t t r i b u t e H i e r a r c h y V i s i b l e > f a l s e < / A t t r i b u t e H i e r a r c h y V i s i b l e > < / A t t r i b u t e > < A t t r i b u t e > < A t t r i b u t e I D > R e d n i B r o j U c e s t a l o s t i P o d a t k a < / A t t r i b u t e I D > < / A t t r i b u t e > < A t t r i b u t e > < A t t r i b u t e I D > I D U c e s t a l o s t i P o d a t k a < / A t t r i b u t e I D > < / A t t r i b u t e > < A t t r i b u t e > < A t t r i b u t e I D > U c e s t a l o s t P o d a t k a < / A t t r i b u t e I D > < / A t t r i b u t e > < / A t t r i b u t e s > < / D i m e n s i o n > < / D i m e n s i o n s > < M e a s u r e G r o u p s > < M e a s u r e G r o u p > < I D > 3 5 1 d 1 d 8 5 - 2 1 c e - 4 a 4 9 - 9 5 1 d - a 5 d 6 f f 5 5 f 7 e c < / I D > < N a m e > D r u at v a < / N a m e > < M e a s u r e s > < M e a s u r e > < I D > 3 5 1 d 1 d 8 5 - 2 1 c e - 4 a 4 9 - 9 5 1 d - a 5 d 6 f f 5 5 f 7 e c < / I D > < N a m e > _ C o u n t   D r u at v a 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 _ x 0 0 3 3 _ 5 1 d 1 d 8 5 - 2 1 c e - 4 a 4 9 - 9 5 1 d - a 5 d 6 f f 5 5 f 7 e c 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 3 5 1 d 1 d 8 5 - 2 1 c e - 4 a 4 9 - 9 5 1 d - a 5 d 6 f f 5 5 f 7 e c 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 Q u e r y < / T a b l e I D > < C o l u m n I D > R o w N u m b e r < / C o l u m n I D > < / S o u r c e > < / K e y C o l u m n > < / K e y C o l u m n s > < T y p e > G r a n u l a r i t y < / T y p e > < / A t t r i b u t e > < A t t r i b u t e > < A t t r i b u t e I D > N a z i v D r u s t v a 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 N a z i v D r u s t v a < / C o l u m n I D > < / S o u r c e > < / K e y C o l u m n > < / K e y C o l u m n s > < / A t t r i b u t e > < A t t r i b u t e > < A t t r i b u t e I D > I D D r u s t v o 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 I D D r u s t v o < / C o l u m n I D > < / S o u r c e > < / K e y C o l u m n > < / K e y C o l u m n s > < / A t t r i b u t e > < A t t r i b u t e > < A t t r i b u t e I D > C l a n s t v o H U O < / A t t r i b u t e I D > < K e y C o l u m n s > < K e y C o l u m n > < N u l l P r o c e s s i n g > P r e s e r v e < / N u l l P r o c e s s i n g > < D a t a T y p e > B o o l e a n < / D a t a T y p e > < D a t a S i z e > - 1 < / D a t a S i z e > < I n v a l i d X m l C h a r a c t e r s > R e m o v e < / I n v a l i d X m l C h a r a c t e r s > < S o u r c e   x s i : t y p e = " C o l u m n B i n d i n g " > < T a b l e I D > _ x 0 0 3 3 _ 5 1 d 1 d 8 5 - 2 1 c e - 4 a 4 9 - 9 5 1 d - a 5 d 6 f f 5 5 f 7 e c < / T a b l e I D > < C o l u m n I D > C l a n s t v o H U O 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 3 5 1 d 1 d 8 5 - 2 1 c e - 4 a 4 9 - 9 5 1 d - a 5 d 6 f f 5 5 f 7 e c < / I D > < N a m e > _ C o u n t   D r u at v a < / N a m e > < S o u r c e   x s i : t y p e = " Q u e r y B i n d i n g " > < D a t a S o u r c e I D > 4 0 5 d a 1 e b - 3 e 6 e - 4 7 a 6 - a 6 1 c - 9 e 3 d b e d 1 1 9 5 9 < / D a t a S o u r c e I D > < Q u e r y D e f i n i t i o n > S E L E C T  
     d D r u s t v a . N a z i v D r u s t v a  
     , d D r u s t v a . I D D r u s t v o  
     , d D r u s t v a . C l a n s t v o H U O  
 F R O M  
     d D r u s t v a  
 W H E R E  
     d D r u s t v a . I D   L I K E   N ' H R % ' 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M e a s u r e G r o u p > < I D > e 0 c 5 e f e 4 - 3 0 3 8 - 4 d 3 9 - a 8 c 4 - 6 4 5 c b 8 9 5 5 f 2 5 < / I D > < N a m e > U c e s t a l o s t _ p o d a t a k a < / N a m e > < M e a s u r e s > < M e a s u r e > < I D > e 0 c 5 e f e 4 - 3 0 3 8 - 4 d 3 9 - a 8 c 4 - 6 4 5 c b 8 9 5 5 f 2 5 < / I D > < N a m e > _ C o u n t   U c e s t a l o s t _ p o d a t a k a < / N a m e > < A g g r e g a t e F u n c t i o n > C o u n t < / A g g r e g a t e F u n c t i o n > < D a t a T y p e > B i g I n t < / D a t a T y p e > < S o u r c e > < D a t a T y p e > B i g I n t < / D a t a T y p e > < D a t a S i z e > 8 < / D a t a S i z e > < S o u r c e   x s i : t y p e = " R o w B i n d i n g " > < T a b l e I D > e 0 c 5 e f e 4 - 3 0 3 8 - 4 d 3 9 - a 8 c 4 - 6 4 5 c b 8 9 5 5 f 2 5 < / T a b l e I D > < / S o u r c e > < / S o u r c e > < / M e a s u r e > < / M e a s u r e s > < S t o r a g e M o d e   v a l u e n s = " d d l 2 0 0 _ 2 0 0 " > I n M e m o r y < / S t o r a g e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c e s s i n g M o d e > R e g u l a r < / P r o c e s s i n g M o d e > < D i m e n s i o n s > < D i m e n s i o n   x s i : t y p e = " D e g e n e r a t e M e a s u r e G r o u p D i m e n s i o n " > < C u b e D i m e n s i o n I D > e 0 c 5 e f e 4 - 3 0 3 8 - 4 d 3 9 - a 8 c 4 - 6 4 5 c b 8 9 5 5 f 2 5 < / C u b e D i m e n s i o n I D > < A t t r i b u t e s > < A t t r i b u t e > < A t t r i b u t e I D > R o w N u m b e r < / A t t r i b u t e I D > < K e y C o l u m n s > < K e y C o l u m n > < D a t a T y p e > I n t e g e r < / D a t a T y p e > < S o u r c e   x s i : t y p e = " C o l u m n B i n d i n g " > < T a b l e I D > Q u e r y _ x 0 0 2 0 _ 1 < / T a b l e I D > < C o l u m n I D > R o w N u m b e r < / C o l u m n I D > < / S o u r c e > < / K e y C o l u m n > < / K e y C o l u m n s > < T y p e > G r a n u l a r i t y < / T y p e > < / A t t r i b u t e > < A t t r i b u t e > < A t t r i b u t e I D > R e d n i B r o j U c e s t a l o s t i P o d a t k a 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 R e d n i B r o j U c e s t a l o s t i P o d a t k a < / C o l u m n I D > < / S o u r c e > < / K e y C o l u m n > < / K e y C o l u m n s > < / A t t r i b u t e > < A t t r i b u t e > < A t t r i b u t e I D > I D U c e s t a l o s t i P o d a t k a < / A t t r i b u t e I D > < K e y C o l u m n s > < K e y C o l u m n > < N u l l P r o c e s s i n g > P r e s e r v e < / N u l l P r o c e s s i n g > < D a t a T y p e > I n t e g e r < / D a t a T y p e > < D a t a S i z e > - 1 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 I D U c e s t a l o s t i P o d a t k a < / C o l u m n I D > < / S o u r c e > < / K e y C o l u m n > < / K e y C o l u m n s > < / A t t r i b u t e > < A t t r i b u t e > < A t t r i b u t e I D > U c e s t a l o s t P o d a t k a < / A t t r i b u t e I D > < K e y C o l u m n s > < K e y C o l u m n > < N u l l P r o c e s s i n g > P r e s e r v e < / N u l l P r o c e s s i n g > < D a t a T y p e > W C h a r < / D a t a T y p e > < D a t a S i z e > 1 3 1 0 7 2 < / D a t a S i z e > < I n v a l i d X m l C h a r a c t e r s > R e m o v e < / I n v a l i d X m l C h a r a c t e r s > < S o u r c e   x s i : t y p e = " C o l u m n B i n d i n g " > < T a b l e I D > e 0 c 5 e f e 4 - 3 0 3 8 - 4 d 3 9 - a 8 c 4 - 6 4 5 c b 8 9 5 5 f 2 5 < / T a b l e I D > < C o l u m n I D > U c e s t a l o s t P o d a t k a < / C o l u m n I D > < / S o u r c e > < / K e y C o l u m n > < / K e y C o l u m n s > < / A t t r i b u t e > < / A t t r i b u t e s > < d d l 2 0 0 _ 2 0 0 : S h a r e D i m e n s i o n S t o r a g e > S h a r e d < / d d l 2 0 0 _ 2 0 0 : S h a r e D i m e n s i o n S t o r a g e > < / D i m e n s i o n > < / D i m e n s i o n s > < P a r t i t i o n s > < P a r t i t i o n > < I D > e 0 c 5 e f e 4 - 3 0 3 8 - 4 d 3 9 - a 8 c 4 - 6 4 5 c b 8 9 5 5 f 2 5 < / I D > < N a m e > _ C o u n t   U c e s t a l o s t _ p o d a t a k a < / N a m e > < S o u r c e   x s i : t y p e = " Q u e r y B i n d i n g " > < D a t a S o u r c e I D > 2 5 a f 4 d 4 4 - 1 7 b 4 - 4 f e a - 9 8 b 2 - b 3 7 3 5 6 2 e 8 e 8 7 < / D a t a S o u r c e I D > < Q u e r y D e f i n i t i o n > S E L E C T  
     s U c e s t a l o s t P o d a t a k a . R e d n i B r o j U c e s t a l o s t i P o d a t k a  
     , s U c e s t a l o s t P o d a t a k a . I D U c e s t a l o s t i P o d a t k a  
     , s U c e s t a l o s t P o d a t a k a . U c e s t a l o s t P o d a t k a  
 F R O M  
     s U c e s t a l o s t P o d a t a k a  
 W H E R E  
     s U c e s t a l o s t P o d a t a k a . U c e s t a l o s t P o d a t k a   =   N ' G O D ' < / Q u e r y D e f i n i t i o n > < / S o u r c e > < S t o r a g e M o d e   v a l u e n s = " d d l 2 0 0 _ 2 0 0 " > I n M e m o r y < / S t o r a g e M o d e > < P r o c e s s i n g M o d e > R e g u l a r < / P r o c e s s i n g M o d e > < E r r o r C o n f i g u r a t i o n > < K e y N o t F o u n d > I g n o r e E r r o r < / K e y N o t F o u n d > < K e y D u p l i c a t e > R e p o r t A n d S t o p < / K e y D u p l i c a t e > < N u l l K e y N o t A l l o w e d > R e p o r t A n d S t o p < / N u l l K e y N o t A l l o w e d > < / E r r o r C o n f i g u r a t i o n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P a r t i t i o n > < / P a r t i t i o n s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M e a s u r e G r o u p > < / M e a s u r e G r o u p s > < S o u r c e > < D a t a S o u r c e V i e w I D > S a n d b o x < / D a t a S o u r c e V i e w I D > < / S o u r c e > < M d x S c r i p t s > < M d x S c r i p t > < I D > M d x S c r i p t < / I D > < N a m e > M d x S c r i p t < / N a m e > < C o m m a n d s > < C o m m a n d > < T e x t > C A L C U L A T E ;    
 C R E A T E   M E M B E R   C U R R E N T C U B E . M e a s u r e s . [ c 7 5 9 a 8 4 b - 8 4 f d - 4 c 6 7 - b 8 6 c - 5 8 4 8 a d 3 8 6 4 d 1 ]   A S   1 ,   V i s i b l e = 0 ;    
 A L T E R   C U B E   C U R R E N T C U B E   U P D A T E   D I M E N S I O N   M e a s u r e s ,   D e f a u l t _ M e m b e r   =   [ c 7 5 9 a 8 4 b - 8 4 f d - 4 c 6 7 - b 8 6 c - 5 8 4 8 a d 3 8 6 4 d 1 ] ;   < / T e x t > < / C o m m a n d > < / C o m m a n d s > < / M d x S c r i p t > < / M d x S c r i p t s > < S t o r a g e M o d e   v a l u e n s = " d d l 2 0 0 _ 2 0 0 " > I n M e m o r y < / S t o r a g e M o d e > < P r o a c t i v e C a c h i n g > < S i l e n c e I n t e r v a l > - P T 1 S < / S i l e n c e I n t e r v a l > < L a t e n c y > - P T 1 S < / L a t e n c y > < S i l e n c e O v e r r i d e I n t e r v a l > - P T 1 S < / S i l e n c e O v e r r i d e I n t e r v a l > < F o r c e R e b u i l d I n t e r v a l > - P T 1 S < / F o r c e R e b u i l d I n t e r v a l > < S o u r c e   x s i : t y p e = " P r o a c t i v e C a c h i n g I n h e r i t e d B i n d i n g "   / > < / P r o a c t i v e C a c h i n g > < / C u b e > < / C u b e s > < D a t a S o u r c e s > < D a t a S o u r c e   x s i : t y p e = " R e l a t i o n a l D a t a S o u r c e " > < I D > 4 0 5 d a 1 e b - 3 e 6 e - 4 7 a 6 - a 6 1 c - 9 e 3 d b e d 1 1 9 5 9 < / I D > < N a m e > S q l S e r v e r   k r k   H U O _ D W H < / N a m e > < A n n o t a t i o n s > < A n n o t a t i o n > < N a m e > C o n n e c t i o n E d i t U I S o u r c e < / N a m e > < V a l u e > S q l S e r v e r < / V a l u e > < / A n n o t a t i o n > < A n n o t a t i o n > < N a m e > C o n n e c t i o n E d i t U I S o u r c e I s D a l l a s < / N a m e > < V a l u e > F a l s e < / V a l u e > < / A n n o t a t i o n > < / A n n o t a t i o n s > < C o n n e c t i o n S t r i n g > P r o v i d e r = S Q L N C L I 1 0 ; D a t a   S o u r c e = k r k ; I n i t i a l   C a t a l o g = H U O _ D W H ; I n t e g r a t e d   S e c u r i t y = S S P I ; P e r s i s t   S e c u r i t y   I n f o = f a l s e < / C o n n e c t i o n S t r i n g > < I m p e r s o n a t i o n I n f o > < I m p e r s o n a t i o n M o d e > I m p e r s o n a t e C u r r e n t U s e r < / I m p e r s o n a t i o n M o d e > < / I m p e r s o n a t i o n I n f o > < T i m e o u t > P T 0 S < / T i m e o u t > < / D a t a S o u r c e > < D a t a S o u r c e   x s i : t y p e = " R e l a t i o n a l D a t a S o u r c e " > < I D > 2 5 a f 4 d 4 4 - 1 7 b 4 - 4 f e a - 9 8 b 2 - b 3 7 3 5 6 2 e 8 e 8 7 < / I D > < N a m e > S q l S e r v e r   k r k   H U O _ D W H   2 < / N a m e > < A n n o t a t i o n s > < A n n o t a t i o n > < N a m e > C o n n e c t i o n E d i t U I S o u r c e < / N a m e > < V a l u e > S q l S e r v e r < / V a l u e > < / A n n o t a t i o n > < A n n o t a t i o n > < N a m e > C o n n e c t i o n E d i t U I S o u r c e I s D a l l a s < / N a m e > < V a l u e > F a l s e < / V a l u e > < / A n n o t a t i o n > < / A n n o t a t i o n s > < C o n n e c t i o n S t r i n g > P r o v i d e r = S Q L N C L I 1 0 ; D a t a   S o u r c e = k r k ; I n i t i a l   C a t a l o g = H U O _ D W H ; I n t e g r a t e d   S e c u r i t y = S S P I ; P e r s i s t   S e c u r i t y   I n f o = f a l s e < / C o n n e c t i o n S t r i n g > < I m p e r s o n a t i o n I n f o > < I m p e r s o n a t i o n M o d e > I m p e r s o n a t e C u r r e n t U s e r < / I m p e r s o n a t i o n M o d e > < / I m p e r s o n a t i o n I n f o > < T i m e o u t > P T 0 S < / T i m e o u t > < / D a t a S o u r c e > < / D a t a S o u r c e s > < D a t a S o u r c e V i e w s > < D a t a S o u r c e V i e w > < I D > S a n d b o x < / I D > < N a m e > S a n d b o x < / N a m e > < D a t a S o u r c e I D > 4 0 5 d a 1 e b - 3 e 6 e - 4 7 a 6 - a 6 1 c - 9 e 3 d b e d 1 1 9 5 9 < / D a t a S o u r c e I D > < S c h e m a > < x s : s c h e m a   i d = " N e w D a t a S e t "   x m l n s = " "   x m l n s : x s = " h t t p : / / w w w . w 3 . o r g / 2 0 0 1 / X M L S c h e m a "   x m l n s : m s d a t a = " u r n : s c h e m a s - m i c r o s o f t - c o m : x m l - m s d a t a "   x m l n s : m s p r o p = " u r n : s c h e m a s - m i c r o s o f t - c o m : x m l - m s p r o p " > < x s : e l e m e n t   n a m e = " N e w D a t a S e t "   m s d a t a : I s D a t a S e t = " t r u e "   m s d a t a : L o c a l e = " h r - H R " > < x s : c o m p l e x T y p e > < x s : c h o i c e   m i n O c c u r s = " 0 "   m a x O c c u r s = " u n b o u n d e d " > < x s : e l e m e n t   n a m e = " _ x 0 0 3 3 _ 5 1 d 1 d 8 5 - 2 1 c e - 4 a 4 9 - 9 5 1 d - a 5 d 6 f f 5 5 f 7 e c "   m s d a t a : L o c a l e = " "   m s p r o p : F r i e n d l y N a m e = " D r u at v a "   m s p r o p : Q u e r y D e f i n i t i o n = " S E L E C T & # x D ; & # x A ;     d D r u s t v a . N a z i v D r u s t v a & # x D ; & # x A ;     , d D r u s t v a . I D D r u s t v o & # x D ; & # x A ;     , d D r u s t v a . C l a n s t v o H U O & # x D ; & # x A ; F R O M & # x D ; & # x A ;     d D r u s t v a & # x D ; & # x A ; W H E R E & # x D ; & # x A ;     d D r u s t v a . I D   L I K E   N ' H R % ' "   m s p r o p : I s L o g i c a l = " T r u e "   m s p r o p : D b T a b l e N a m e = " Q u e r y "   m s p r o p : D e s c r i p t i o n = " Q u e r y "   m s p r o p : T a b l e T y p e = " V i e w " > < x s : c o m p l e x T y p e > < x s : s e q u e n c e > < x s : e l e m e n t   n a m e = " N a z i v D r u s t v a "   m s p r o p : F r i e n d l y N a m e = " N a z i v D r u s t v a "   m s p r o p : D b C o l u m n N a m e = " N a z i v D r u s t v a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x s : e l e m e n t   n a m e = " I D D r u s t v o "   m s p r o p : F r i e n d l y N a m e = " I D D r u s t v o "   m s p r o p : D b C o l u m n N a m e = " I D D r u s t v o "   t y p e = " x s : i n t "   m i n O c c u r s = " 0 "   / > < x s : e l e m e n t   n a m e = " C l a n s t v o H U O "   m s p r o p : F r i e n d l y N a m e = " C l a n s t v o H U O "   m s p r o p : D b C o l u m n N a m e = " C l a n s t v o H U O "   t y p e = " x s : b o o l e a n "   m i n O c c u r s = " 0 "   / > < / x s : s e q u e n c e > < / x s : c o m p l e x T y p e > < / x s : e l e m e n t > < x s : e l e m e n t   n a m e = " e 0 c 5 e f e 4 - 3 0 3 8 - 4 d 3 9 - a 8 c 4 - 6 4 5 c b 8 9 5 5 f 2 5 "   m s d a t a : L o c a l e = " "   m s p r o p : F r i e n d l y N a m e = " U c e s t a l o s t _ p o d a t a k a "   m s p r o p : Q u e r y D e f i n i t i o n = " S E L E C T & # x D ; & # x A ;     s U c e s t a l o s t P o d a t a k a . R e d n i B r o j U c e s t a l o s t i P o d a t k a & # x D ; & # x A ;     , s U c e s t a l o s t P o d a t a k a . I D U c e s t a l o s t i P o d a t k a & # x D ; & # x A ;     , s U c e s t a l o s t P o d a t a k a . U c e s t a l o s t P o d a t k a & # x D ; & # x A ; F R O M & # x D ; & # x A ;     s U c e s t a l o s t P o d a t a k a & # x D ; & # x A ; W H E R E & # x D ; & # x A ;     s U c e s t a l o s t P o d a t a k a . U c e s t a l o s t P o d a t k a   =   N ' G O D ' "   m s p r o p : I s L o g i c a l = " T r u e "   m s p r o p : D b T a b l e N a m e = " Q u e r y   1 "   m s p r o p : T a b l e T y p e = " V i e w "   m s p r o p : D e s c r i p t i o n = " Q u e r y   1 "   m s p r o p : D a t a S o u r c e I D = " 2 5 a f 4 d 4 4 - 1 7 b 4 - 4 f e a - 9 8 b 2 - b 3 7 3 5 6 2 e 8 e 8 7 " > < x s : c o m p l e x T y p e > < x s : s e q u e n c e > < x s : e l e m e n t   n a m e = " R e d n i B r o j U c e s t a l o s t i P o d a t k a "   m s p r o p : F r i e n d l y N a m e = " R e d n i B r o j U c e s t a l o s t i P o d a t k a "   m s p r o p : D b C o l u m n N a m e = " R e d n i B r o j U c e s t a l o s t i P o d a t k a "   t y p e = " x s : i n t "   m i n O c c u r s = " 0 "   / > < x s : e l e m e n t   n a m e = " I D U c e s t a l o s t i P o d a t k a "   m s p r o p : F r i e n d l y N a m e = " I D U c e s t a l o s t i P o d a t k a "   m s p r o p : D b C o l u m n N a m e = " I D U c e s t a l o s t i P o d a t k a "   t y p e = " x s : i n t "   m i n O c c u r s = " 0 "   / > < x s : e l e m e n t   n a m e = " U c e s t a l o s t P o d a t k a "   m s p r o p : F r i e n d l y N a m e = " U c e s t a l o s t P o d a t k a "   m s p r o p : D b C o l u m n N a m e = " U c e s t a l o s t P o d a t k a "   m i n O c c u r s = " 0 " > < x s : s i m p l e T y p e > < x s : r e s t r i c t i o n   b a s e = " x s : s t r i n g " > < x s : m a x L e n g t h   v a l u e = " 1 3 1 0 7 2 "   / > < / x s : r e s t r i c t i o n > < / x s : s i m p l e T y p e > < / x s : e l e m e n t > < / x s : s e q u e n c e > < / x s : c o m p l e x T y p e > < / x s : e l e m e n t > < / x s : c h o i c e > < / x s : c o m p l e x T y p e > < / x s : e l e m e n t > < / x s : s c h e m a > < d i f f g r : d i f f g r a m   x m l n s : m s d a t a = " u r n : s c h e m a s - m i c r o s o f t - c o m : x m l - m s d a t a "   x m l n s : d i f f g r = " u r n : s c h e m a s - m i c r o s o f t - c o m : x m l - d i f f g r a m - v 1 "   / > < / S c h e m a > < / D a t a S o u r c e V i e w > < / D a t a S o u r c e V i e w s > < d d l 2 0 0 _ 2 0 0 : S t o r a g e E n g i n e U s e d > I n M e m o r y < / d d l 2 0 0 _ 2 0 0 : S t o r a g e E n g i n e U s e d > < / D a t a b a s e > < / O b j e c t D e f i n i t i o n > < / C r e a t e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a c 6 6 b 2 8 1 - a 6 2 3 - 4 3 b 0 - 8 c e 8 - 1 e 2 9 8 5 8 9 1 6 3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 D r u at v a < / S l i c e r S h e e t N a m e > < S A H o s t H a s h > 1 3 5 4 3 5 5 8 7 < / S A H o s t H a s h > < G e m i n i F i e l d L i s t V i s i b l e > T r u e < / G e m i n i F i e l d L i s t V i s i b l e > < / S e t t i n g s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3 5 1 d 1 d 8 5 - 2 1 c e - 4 a 4 9 - 9 5 1 d - a 5 d 6 f f 5 5 f 7 e c ] ] > < / C u s t o m C o n t e n t > < / G e m i n i > 
</file>

<file path=customXml/item14.xml>��< ? x m l   v e r s i o n = " 1 . 0 "   e n c o d i n g = " U T F - 1 6 " ? > < G e m i n i   x m l n s = " h t t p : / / g e m i n i / w o r k b o o k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  / > < / L i n k e d T a b l e s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O r d e r " > < C u s t o m C o n t e n t > < ! [ C D A T A [ 3 5 1 d 1 d 8 5 - 2 1 c e - 4 a 4 9 - 9 5 1 d - a 5 d 6 f f 5 5 f 7 e c , e 0 c 5 e f e 4 - 3 0 3 8 - 4 d 3 9 - a 8 c 4 - 6 4 5 c b 8 9 5 5 f 2 5 ] ] > < / C u s t o m C o n t e n t > < / G e m i n i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owerPivot Gallery Document" ma:contentTypeID="0x01010095E45217B88345418947D2378995B6B0006D7E2E07821D184E8C96A2586D5DC7C6" ma:contentTypeVersion="10" ma:contentTypeDescription="Document in a PowerPivot Gallery" ma:contentTypeScope="" ma:versionID="8af40857525472809784d5aa39dd5a3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G e m i n i   x m l n s = " h t t p : / / g e m i n i / w o r k b o o k c u s t o m i z a t i o n / S a n d b o x N o n E m p t y " > < C u s t o m C o n t e n t > < ! [ C D A T A [ 1 ] ] > < / C u s t o m C o n t e n t > < / G e m i n i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��< ? x m l   v e r s i o n = " 1 . 0 "   e n c o d i n g = " U T F - 1 6 " ? > < G e m i n i   x m l n s = " h t t p : / / g e m i n i / p i v o t c u s t o m i z a t i o n / c a d 2 a 5 4 c - 3 5 1 2 - 4 a 3 a - 8 e e 3 - 9 9 0 7 c e 9 6 b 9 0 6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 U e s t a l o s t   p o d a t a k a < / S l i c e r S h e e t N a m e > < S A H o s t H a s h > 1 6 7 6 4 9 1 4 4 3 < / S A H o s t H a s h > < G e m i n i F i e l d L i s t V i s i b l e > T r u e < / G e m i n i F i e l d L i s t V i s i b l e > < / S e t t i n g s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< ! [ C D A T A [ 2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3 5 1 d 1 d 8 5 - 2 1 c e - 4 a 4 9 - 9 5 1 d - a 5 d 6 f f 5 5 f 7 e c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> < i t e m > < k e y > < s t r i n g > N a z i v D r u s t v a < / s t r i n g > < / k e y > < v a l u e > < s t r i n g > T e x t < / s t r i n g > < / v a l u e > < / i t e m > < i t e m > < k e y > < s t r i n g > I D D r u s t v o < / s t r i n g > < / k e y > < v a l u e > < s t r i n g > G e n e r a l < / s t r i n g > < / v a l u e > < / i t e m > < i t e m > < k e y > < s t r i n g > C l a n s t v o H U O < / s t r i n g > < / k e y > < v a l u e > < s t r i n g > B o o l e a n < / s t r i n g > < / v a l u e > < / i t e m > < i t e m > < k e y > < s t r i n g > A d d   C o l u m n < / s t r i n g > < / k e y > < v a l u e > < s t r i n g > T e x t < / s t r i n g > < / v a l u e > < / i t e m > < / C o l u m n F o r m a t > < C o l u m n A c c u r a c y > < i t e m > < k e y > < s t r i n g > N a z i v D r u s t v a < / s t r i n g > < / k e y > < v a l u e > < i n t > 0 < / i n t > < / v a l u e > < / i t e m > < i t e m > < k e y > < s t r i n g > I D D r u s t v o < / s t r i n g > < / k e y > < v a l u e > < i n t > 0 < / i n t > < / v a l u e > < / i t e m > < i t e m > < k e y > < s t r i n g > C l a n s t v o H U O < / s t r i n g > < / k e y > < v a l u e > < i n t > 0 < / i n t > < / v a l u e > < / i t e m > < i t e m > < k e y > < s t r i n g > A d d   C o l u m n < / s t r i n g > < / k e y > < v a l u e > < i n t > 0 < / i n t > < / v a l u e > < / i t e m > < / C o l u m n A c c u r a c y > < C o l u m n C u r r e n c y S y m b o l > < i t e m > < k e y > < s t r i n g > N a z i v D r u s t v a < / s t r i n g > < / k e y > < v a l u e > < s t r i n g > k n < / s t r i n g > < / v a l u e > < / i t e m > < i t e m > < k e y > < s t r i n g > I D D r u s t v o < / s t r i n g > < / k e y > < v a l u e > < s t r i n g > k n < / s t r i n g > < / v a l u e > < / i t e m > < i t e m > < k e y > < s t r i n g > C l a n s t v o H U O < / s t r i n g > < / k e y > < v a l u e > < s t r i n g > k n < / s t r i n g > < / v a l u e > < / i t e m > < i t e m > < k e y > < s t r i n g > A d d   C o l u m n < / s t r i n g > < / k e y > < v a l u e > < s t r i n g > k n < / s t r i n g > < / v a l u e > < / i t e m > < / C o l u m n C u r r e n c y S y m b o l > < C o l u m n P o s i t i v e P a t t e r n > < i t e m > < k e y > < s t r i n g > N a z i v D r u s t v a < / s t r i n g > < / k e y > < v a l u e > < i n t > 3 < / i n t > < / v a l u e > < / i t e m > < i t e m > < k e y > < s t r i n g > I D D r u s t v o < / s t r i n g > < / k e y > < v a l u e > < i n t > 3 < / i n t > < / v a l u e > < / i t e m > < i t e m > < k e y > < s t r i n g > C l a n s t v o H U O < / s t r i n g > < / k e y > < v a l u e > < i n t > 3 < / i n t > < / v a l u e > < / i t e m > < i t e m > < k e y > < s t r i n g > A d d   C o l u m n < / s t r i n g > < / k e y > < v a l u e > < i n t > 3 < / i n t > < / v a l u e > < / i t e m > < / C o l u m n P o s i t i v e P a t t e r n > < C o l u m n N e g a t i v e P a t t e r n > < i t e m > < k e y > < s t r i n g > N a z i v D r u s t v a < / s t r i n g > < / k e y > < v a l u e > < i n t > 8 < / i n t > < / v a l u e > < / i t e m > < i t e m > < k e y > < s t r i n g > I D D r u s t v o < / s t r i n g > < / k e y > < v a l u e > < i n t > 8 < / i n t > < / v a l u e > < / i t e m > < i t e m > < k e y > < s t r i n g > C l a n s t v o H U O < / s t r i n g > < / k e y > < v a l u e > < i n t > 8 < / i n t > < / v a l u e > < / i t e m > < i t e m > < k e y > < s t r i n g > A d d   C o l u m n < / s t r i n g > < / k e y > < v a l u e > < i n t > 8 < / i n t > < / v a l u e > < / i t e m > < / C o l u m n N e g a t i v e P a t t e r n > < C o l u m n W i d t h s > < i t e m > < k e y > < s t r i n g > N a z i v D r u s t v a < / s t r i n g > < / k e y > < v a l u e > < i n t > 3 3 9 < / i n t > < / v a l u e > < / i t e m > < i t e m > < k e y > < s t r i n g > I D D r u s t v o < / s t r i n g > < / k e y > < v a l u e > < i n t > 9 4 < / i n t > < / v a l u e > < / i t e m > < i t e m > < k e y > < s t r i n g > C l a n s t v o H U O < / s t r i n g > < / k e y > < v a l u e > < i n t > 1 1 4 < / i n t > < / v a l u e > < / i t e m > < i t e m > < k e y > < s t r i n g > A d d   C o l u m n < / s t r i n g > < / k e y > < v a l u e > < i n t > 1 1 3 < / i n t > < / v a l u e > < / i t e m > < / C o l u m n W i d t h s > < C o l u m n D i s p l a y I n d e x > < i t e m > < k e y > < s t r i n g > N a z i v D r u s t v a < / s t r i n g > < / k e y > < v a l u e > < i n t > 0 < / i n t > < / v a l u e > < / i t e m > < i t e m > < k e y > < s t r i n g > I D D r u s t v o < / s t r i n g > < / k e y > < v a l u e > < i n t > 1 < / i n t > < / v a l u e > < / i t e m > < i t e m > < k e y > < s t r i n g > C l a n s t v o H U O < / s t r i n g > < / k e y > < v a l u e > < i n t > 2 < / i n t > < / v a l u e > < / i t e m > < i t e m > < k e y > < s t r i n g > A d d   C o l u m n < / s t r i n g > < / k e y > < v a l u e > < i n t > 3 < / i n t > < / v a l u e > < / i t e m > < / C o l u m n D i s p l a y I n d e x > < C o l u m n F r o z e n   / > < C o l u m n H i d d e n   / > < C o l u m n C h e c k e d   / > < C o l u m n F i l t e r   / > < S e l e c t i o n F i l t e r   / > < F i l t e r P a r a m e t e r s   / > < S o r t B y C o l u m n > N a z i v D r u s t v a < / S o r t B y C o l u m n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w o r k b o o k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F983FFC8-330E-4A7B-BC7D-D511D19E6429}">
  <ds:schemaRefs>
    <ds:schemaRef ds:uri="http://gemini/pivotcustomization/ManualCalcMode"/>
  </ds:schemaRefs>
</ds:datastoreItem>
</file>

<file path=customXml/itemProps10.xml><?xml version="1.0" encoding="utf-8"?>
<ds:datastoreItem xmlns:ds="http://schemas.openxmlformats.org/officeDocument/2006/customXml" ds:itemID="{46739B27-99FE-4ADE-B1E6-3FFC52B89BD0}">
  <ds:schemaRefs>
    <ds:schemaRef ds:uri="http://gemini/pivotcustomization/TableXML_e0c5efe4-3038-4d39-a8c4-645cb8955f25"/>
  </ds:schemaRefs>
</ds:datastoreItem>
</file>

<file path=customXml/itemProps11.xml><?xml version="1.0" encoding="utf-8"?>
<ds:datastoreItem xmlns:ds="http://schemas.openxmlformats.org/officeDocument/2006/customXml" ds:itemID="{617A4EA2-B2D7-4799-B1FD-6B8951537BE9}">
  <ds:schemaRefs>
    <ds:schemaRef ds:uri="http://gemini/workbookcustomization/MetadataRecoveryInformation"/>
  </ds:schemaRefs>
</ds:datastoreItem>
</file>

<file path=customXml/itemProps12.xml><?xml version="1.0" encoding="utf-8"?>
<ds:datastoreItem xmlns:ds="http://schemas.openxmlformats.org/officeDocument/2006/customXml" ds:itemID="{8B75C02B-03E5-471B-A96A-CD215D67F5FA}">
  <ds:schemaRefs>
    <ds:schemaRef ds:uri="http://gemini/pivotcustomization/ac66b281-a623-43b0-8ce8-1e2985891636"/>
  </ds:schemaRefs>
</ds:datastoreItem>
</file>

<file path=customXml/itemProps13.xml><?xml version="1.0" encoding="utf-8"?>
<ds:datastoreItem xmlns:ds="http://schemas.openxmlformats.org/officeDocument/2006/customXml" ds:itemID="{C2E914F6-FF4C-4893-9D14-60532B05A83C}">
  <ds:schemaRefs>
    <ds:schemaRef ds:uri="http://gemini/pivotcustomization/ClientWindowXML"/>
  </ds:schemaRefs>
</ds:datastoreItem>
</file>

<file path=customXml/itemProps14.xml><?xml version="1.0" encoding="utf-8"?>
<ds:datastoreItem xmlns:ds="http://schemas.openxmlformats.org/officeDocument/2006/customXml" ds:itemID="{46A73E76-40E7-4660-89E2-3335E39D7A42}">
  <ds:schemaRefs>
    <ds:schemaRef ds:uri="http://gemini/workbookcustomization/LinkedTables"/>
  </ds:schemaRefs>
</ds:datastoreItem>
</file>

<file path=customXml/itemProps15.xml><?xml version="1.0" encoding="utf-8"?>
<ds:datastoreItem xmlns:ds="http://schemas.openxmlformats.org/officeDocument/2006/customXml" ds:itemID="{A93B0FB7-741A-4A17-8F55-22B98474EA73}">
  <ds:schemaRefs>
    <ds:schemaRef ds:uri="http://gemini/pivotcustomization/LinkedTableUpdateMode"/>
  </ds:schemaRefs>
</ds:datastoreItem>
</file>

<file path=customXml/itemProps16.xml><?xml version="1.0" encoding="utf-8"?>
<ds:datastoreItem xmlns:ds="http://schemas.openxmlformats.org/officeDocument/2006/customXml" ds:itemID="{3CD8BD42-DCA6-4116-BF87-188EBF22347B}">
  <ds:schemaRefs>
    <ds:schemaRef ds:uri="http://gemini/pivotcustomization/TableOrder"/>
  </ds:schemaRefs>
</ds:datastoreItem>
</file>

<file path=customXml/itemProps2.xml><?xml version="1.0" encoding="utf-8"?>
<ds:datastoreItem xmlns:ds="http://schemas.openxmlformats.org/officeDocument/2006/customXml" ds:itemID="{C75D6010-9294-48DA-87A6-D5A5F3C7FF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5A8892F-3F1A-4A8D-B380-99AC3466095F}">
  <ds:schemaRefs>
    <ds:schemaRef ds:uri="http://gemini/workbookcustomization/SandboxNonEmpty"/>
  </ds:schemaRefs>
</ds:datastoreItem>
</file>

<file path=customXml/itemProps4.xml><?xml version="1.0" encoding="utf-8"?>
<ds:datastoreItem xmlns:ds="http://schemas.openxmlformats.org/officeDocument/2006/customXml" ds:itemID="{A67EBF0E-87D8-443A-B884-D0382E1BB058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E1F87515-CA5A-4014-8A10-DD684A018A9E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12C84073-EF9A-40B4-9E4A-22A1BC327D92}">
  <ds:schemaRefs>
    <ds:schemaRef ds:uri="http://gemini/pivotcustomization/cad2a54c-3512-4a3a-8ee3-9907ce96b906"/>
  </ds:schemaRefs>
</ds:datastoreItem>
</file>

<file path=customXml/itemProps7.xml><?xml version="1.0" encoding="utf-8"?>
<ds:datastoreItem xmlns:ds="http://schemas.openxmlformats.org/officeDocument/2006/customXml" ds:itemID="{B3B3704B-7A30-4EBF-BA42-55C0EA02ED90}">
  <ds:schemaRefs>
    <ds:schemaRef ds:uri="http://gemini/pivotcustomization/TableCountInSandbox"/>
  </ds:schemaRefs>
</ds:datastoreItem>
</file>

<file path=customXml/itemProps8.xml><?xml version="1.0" encoding="utf-8"?>
<ds:datastoreItem xmlns:ds="http://schemas.openxmlformats.org/officeDocument/2006/customXml" ds:itemID="{AAE97597-96BF-4D2B-B700-3AC0033C3EE0}">
  <ds:schemaRefs>
    <ds:schemaRef ds:uri="http://gemini/pivotcustomization/TableXML_351d1d85-21ce-4a49-951d-a5d6ff55f7ec"/>
  </ds:schemaRefs>
</ds:datastoreItem>
</file>

<file path=customXml/itemProps9.xml><?xml version="1.0" encoding="utf-8"?>
<ds:datastoreItem xmlns:ds="http://schemas.openxmlformats.org/officeDocument/2006/customXml" ds:itemID="{EDAABD18-118D-4BDA-AD49-CE15365634C3}">
  <ds:schemaRefs>
    <ds:schemaRef ds:uri="http://gemini/workbookcustomization/RelationshipAutoDetectionEnable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17</vt:i4>
      </vt:variant>
    </vt:vector>
  </HeadingPairs>
  <TitlesOfParts>
    <vt:vector size="43" baseType="lpstr">
      <vt:lpstr>Naslovnica</vt:lpstr>
      <vt:lpstr>pomoćna</vt:lpstr>
      <vt:lpstr>Društva</vt:lpstr>
      <vt:lpstr>Društva-ž+n-ZBP</vt:lpstr>
      <vt:lpstr>Društva-BROJ OSIG.</vt:lpstr>
      <vt:lpstr>Skupni-premija-NO+ŽO-08-07</vt:lpstr>
      <vt:lpstr>Skupni-br.osig.-NO+ŽO-07-08</vt:lpstr>
      <vt:lpstr>Skupni-br.šteta.-07-08</vt:lpstr>
      <vt:lpstr>Skupni-likv.štete-kn-08-07</vt:lpstr>
      <vt:lpstr>Skupni-premija-obvezna</vt:lpstr>
      <vt:lpstr>Skupni-štete-obvezna</vt:lpstr>
      <vt:lpstr>Skupni-premija-nezgoda i zdr.</vt:lpstr>
      <vt:lpstr>Skupni-štete-nezgoda i zdr.</vt:lpstr>
      <vt:lpstr>Skupni-premije-vrste-kasko</vt:lpstr>
      <vt:lpstr>Skupni-štete-vrste-kasko</vt:lpstr>
      <vt:lpstr>Skupni-premija-imovina</vt:lpstr>
      <vt:lpstr>Skupni-štete-imovina</vt:lpstr>
      <vt:lpstr>Skupni-premija-odgovornost</vt:lpstr>
      <vt:lpstr>Skupni-štete-odgovornost</vt:lpstr>
      <vt:lpstr>Skupni-premija-ostala odgov.</vt:lpstr>
      <vt:lpstr>Skupni-štete-ostala odgov</vt:lpstr>
      <vt:lpstr>Skupni-premija-ostalo</vt:lpstr>
      <vt:lpstr>Skupni-štete-ostalo</vt:lpstr>
      <vt:lpstr>Skupni-premija-život</vt:lpstr>
      <vt:lpstr>Skupni-štete-život</vt:lpstr>
      <vt:lpstr>HUOS podloga</vt:lpstr>
      <vt:lpstr>'Društva-BROJ OSIG.'!Print_Area</vt:lpstr>
      <vt:lpstr>'Društva-ž+n-ZBP'!Print_Area</vt:lpstr>
      <vt:lpstr>'Skupni-br.osig.-NO+ŽO-07-08'!Print_Area</vt:lpstr>
      <vt:lpstr>'Skupni-br.šteta.-07-08'!Print_Area</vt:lpstr>
      <vt:lpstr>'Skupni-likv.štete-kn-08-07'!Print_Area</vt:lpstr>
      <vt:lpstr>'Skupni-premija-imovina'!Print_Area</vt:lpstr>
      <vt:lpstr>'Skupni-premija-nezgoda i zdr.'!Print_Area</vt:lpstr>
      <vt:lpstr>'Skupni-premija-NO+ŽO-08-07'!Print_Area</vt:lpstr>
      <vt:lpstr>'Skupni-premija-obvezna'!Print_Area</vt:lpstr>
      <vt:lpstr>'Skupni-premija-život'!Print_Area</vt:lpstr>
      <vt:lpstr>'Skupni-premije-vrste-kasko'!Print_Area</vt:lpstr>
      <vt:lpstr>'Skupni-štete-imovina'!Print_Area</vt:lpstr>
      <vt:lpstr>'Skupni-štete-nezgoda i zdr.'!Print_Area</vt:lpstr>
      <vt:lpstr>'Skupni-štete-obvezna'!Print_Area</vt:lpstr>
      <vt:lpstr>'Skupni-štete-vrste-kasko'!Print_Area</vt:lpstr>
      <vt:lpstr>'Skupni-premija-život'!Print_Titles</vt:lpstr>
      <vt:lpstr>'Skupni-štete-život'!Print_Titles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mpremor</dc:creator>
  <cp:lastModifiedBy>Mihaela Premor Andrijanić</cp:lastModifiedBy>
  <cp:lastPrinted>2015-03-11T10:39:45Z</cp:lastPrinted>
  <dcterms:created xsi:type="dcterms:W3CDTF">2012-05-29T11:01:00Z</dcterms:created>
  <dcterms:modified xsi:type="dcterms:W3CDTF">2015-03-11T11:19:56Z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0x01010095E45217B88345418947D2378995B6B0006D7E2E07821D184E8C96A2586D5DC7C6</vt:lpwstr>
  </property>
</Properties>
</file>